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A75CF9CC-A9E7-4734-A067-E96EFE1DE285}" xr6:coauthVersionLast="47" xr6:coauthVersionMax="47" xr10:uidLastSave="{00000000-0000-0000-0000-000000000000}"/>
  <bookViews>
    <workbookView xWindow="-108" yWindow="-108" windowWidth="23256" windowHeight="12456" tabRatio="701" firstSheet="1" activeTab="2" xr2:uid="{00000000-000D-0000-FFFF-FFFF00000000}"/>
  </bookViews>
  <sheets>
    <sheet name="RESUMEN DE METRADOS" sheetId="3" state="hidden" r:id="rId1"/>
    <sheet name="metrado final" sheetId="2" r:id="rId2"/>
    <sheet name="RESUMEN" sheetId="7" r:id="rId3"/>
    <sheet name="Hoja2" sheetId="8" state="hidden" r:id="rId4"/>
    <sheet name="Hoja3" sheetId="9" state="hidden" r:id="rId5"/>
    <sheet name="Hoja1" sheetId="6" state="hidden" r:id="rId6"/>
  </sheets>
  <definedNames>
    <definedName name="_xlnm._FilterDatabase" localSheetId="1" hidden="1">'metrado final'!#REF!</definedName>
    <definedName name="_xlnm._FilterDatabase" localSheetId="2" hidden="1">RESUMEN!$C$9:$G$83</definedName>
    <definedName name="_xlnm.Print_Area" localSheetId="1">'metrado final'!$B$2:$Q$1406</definedName>
    <definedName name="_xlnm.Print_Area" localSheetId="2">RESUMEN!$B$2:$G$189</definedName>
    <definedName name="_xlnm.Print_Titles" localSheetId="1">'metrado final'!$3:$7</definedName>
    <definedName name="_xlnm.Print_Titles" localSheetId="0">'RESUMEN DE METRADOS'!$1:$7</definedName>
  </definedNames>
  <calcPr calcId="181029"/>
</workbook>
</file>

<file path=xl/calcChain.xml><?xml version="1.0" encoding="utf-8"?>
<calcChain xmlns="http://schemas.openxmlformats.org/spreadsheetml/2006/main">
  <c r="D5" i="2" l="1"/>
  <c r="D1184" i="2"/>
  <c r="C1184" i="2"/>
  <c r="D1183" i="2"/>
  <c r="C158" i="7"/>
  <c r="C159" i="7"/>
  <c r="D1170" i="2"/>
  <c r="D1146" i="2"/>
  <c r="D1154" i="2" s="1"/>
  <c r="D958" i="2"/>
  <c r="D899" i="2"/>
  <c r="D848" i="2"/>
  <c r="D816" i="2"/>
  <c r="D824" i="2" s="1"/>
  <c r="K824" i="2"/>
  <c r="J822" i="2"/>
  <c r="J824" i="2" s="1"/>
  <c r="H831" i="2" s="1"/>
  <c r="D815" i="2"/>
  <c r="D826" i="2"/>
  <c r="D833" i="2" s="1"/>
  <c r="K833" i="2"/>
  <c r="D835" i="2"/>
  <c r="K813" i="2"/>
  <c r="J811" i="2"/>
  <c r="D804" i="2"/>
  <c r="C105" i="7"/>
  <c r="C106" i="7" s="1"/>
  <c r="C803" i="2"/>
  <c r="C804" i="2" s="1"/>
  <c r="C826" i="2" s="1"/>
  <c r="D803" i="2"/>
  <c r="D790" i="2"/>
  <c r="D791" i="2"/>
  <c r="D800" i="2" s="1"/>
  <c r="D778" i="2"/>
  <c r="D649" i="2"/>
  <c r="D529" i="2"/>
  <c r="D502" i="2"/>
  <c r="D481" i="2"/>
  <c r="D372" i="2"/>
  <c r="D356" i="2"/>
  <c r="D341" i="2"/>
  <c r="D284" i="2"/>
  <c r="K280" i="2"/>
  <c r="D263" i="2"/>
  <c r="D195" i="2"/>
  <c r="K968" i="2"/>
  <c r="D900" i="2"/>
  <c r="D911" i="2" s="1"/>
  <c r="K911" i="2"/>
  <c r="H910" i="2"/>
  <c r="J910" i="2" s="1"/>
  <c r="G906" i="2"/>
  <c r="J906" i="2" s="1"/>
  <c r="H783" i="2"/>
  <c r="J783" i="2" s="1"/>
  <c r="D779" i="2"/>
  <c r="D788" i="2" s="1"/>
  <c r="K788" i="2"/>
  <c r="J787" i="2"/>
  <c r="J786" i="2"/>
  <c r="J785" i="2"/>
  <c r="J784" i="2"/>
  <c r="G1258" i="2"/>
  <c r="J1258" i="2" s="1"/>
  <c r="G1257" i="2"/>
  <c r="J1257" i="2" s="1"/>
  <c r="D1250" i="2"/>
  <c r="D1260" i="2" s="1"/>
  <c r="K1260" i="2"/>
  <c r="D1263" i="2"/>
  <c r="D1271" i="2" s="1"/>
  <c r="J1268" i="2"/>
  <c r="J1269" i="2"/>
  <c r="K1271" i="2"/>
  <c r="J1279" i="2"/>
  <c r="D1274" i="2"/>
  <c r="D1281" i="2" s="1"/>
  <c r="K1281" i="2"/>
  <c r="J1294" i="2"/>
  <c r="J1293" i="2"/>
  <c r="D1286" i="2"/>
  <c r="D1295" i="2" s="1"/>
  <c r="K1295" i="2"/>
  <c r="J1371" i="2"/>
  <c r="J1360" i="2"/>
  <c r="J1349" i="2"/>
  <c r="J1348" i="2"/>
  <c r="J1336" i="2"/>
  <c r="J1326" i="2"/>
  <c r="J1325" i="2"/>
  <c r="J1304" i="2"/>
  <c r="J1306" i="2" s="1"/>
  <c r="H1314" i="2" s="1"/>
  <c r="J1314" i="2" s="1"/>
  <c r="J1232" i="2"/>
  <c r="J1234" i="2" s="1"/>
  <c r="F167" i="7" s="1"/>
  <c r="J1208" i="2"/>
  <c r="J1210" i="2" s="1"/>
  <c r="H1219" i="2" s="1"/>
  <c r="J1194" i="2"/>
  <c r="J1196" i="2" s="1"/>
  <c r="F162" i="7" s="1"/>
  <c r="J933" i="2"/>
  <c r="J922" i="2"/>
  <c r="J875" i="2"/>
  <c r="J874" i="2"/>
  <c r="J857" i="2"/>
  <c r="J856" i="2"/>
  <c r="J844" i="2"/>
  <c r="J746" i="2"/>
  <c r="J618" i="2"/>
  <c r="J617" i="2"/>
  <c r="J523" i="2"/>
  <c r="J524" i="2"/>
  <c r="J525" i="2"/>
  <c r="J522" i="2"/>
  <c r="J508" i="2"/>
  <c r="J403" i="2"/>
  <c r="J235" i="2"/>
  <c r="J216" i="2"/>
  <c r="J247" i="2"/>
  <c r="J245" i="2"/>
  <c r="J243" i="2"/>
  <c r="J241" i="2"/>
  <c r="J239" i="2"/>
  <c r="J237" i="2"/>
  <c r="D503" i="2"/>
  <c r="D512" i="2" s="1"/>
  <c r="J510" i="2"/>
  <c r="J509" i="2"/>
  <c r="H896" i="2"/>
  <c r="J896" i="2" s="1"/>
  <c r="D886" i="2"/>
  <c r="D897" i="2" s="1"/>
  <c r="K897" i="2"/>
  <c r="G892" i="2"/>
  <c r="J892" i="2" s="1"/>
  <c r="J882" i="2"/>
  <c r="J879" i="2"/>
  <c r="J878" i="2"/>
  <c r="J622" i="2"/>
  <c r="J626" i="2"/>
  <c r="J630" i="2"/>
  <c r="K512" i="2"/>
  <c r="D1387" i="2"/>
  <c r="D1395" i="2" s="1"/>
  <c r="K1395" i="2"/>
  <c r="J1393" i="2"/>
  <c r="J1395" i="2" s="1"/>
  <c r="F185" i="7" s="1"/>
  <c r="D1376" i="2"/>
  <c r="D1384" i="2" s="1"/>
  <c r="K1384" i="2"/>
  <c r="J1382" i="2"/>
  <c r="J1384" i="2" s="1"/>
  <c r="F184" i="7" s="1"/>
  <c r="G1245" i="2"/>
  <c r="J1245" i="2" s="1"/>
  <c r="H1178" i="2"/>
  <c r="G1178" i="2"/>
  <c r="D1171" i="2"/>
  <c r="D1180" i="2" s="1"/>
  <c r="H1165" i="2"/>
  <c r="G1165" i="2"/>
  <c r="H1141" i="2"/>
  <c r="G1141" i="2"/>
  <c r="J1127" i="2"/>
  <c r="J1129" i="2" s="1"/>
  <c r="F151" i="7" s="1"/>
  <c r="H965" i="2"/>
  <c r="J965" i="2" s="1"/>
  <c r="H954" i="2"/>
  <c r="J954" i="2" s="1"/>
  <c r="K956" i="2"/>
  <c r="D954" i="2"/>
  <c r="D947" i="2"/>
  <c r="D956" i="2" s="1"/>
  <c r="D937" i="2"/>
  <c r="H860" i="2"/>
  <c r="J860" i="2" s="1"/>
  <c r="H859" i="2"/>
  <c r="J859" i="2" s="1"/>
  <c r="G772" i="2"/>
  <c r="G795" i="2" s="1"/>
  <c r="J795" i="2" s="1"/>
  <c r="H771" i="2"/>
  <c r="J771" i="2" s="1"/>
  <c r="G760" i="2"/>
  <c r="J760" i="2" s="1"/>
  <c r="G747" i="2"/>
  <c r="J747" i="2" s="1"/>
  <c r="H733" i="2"/>
  <c r="H734" i="2"/>
  <c r="H735" i="2"/>
  <c r="H732" i="2"/>
  <c r="G732" i="2"/>
  <c r="G710" i="2"/>
  <c r="J710" i="2" s="1"/>
  <c r="J686" i="2"/>
  <c r="H690" i="2"/>
  <c r="G690" i="2"/>
  <c r="H687" i="2"/>
  <c r="G687" i="2"/>
  <c r="J689" i="2"/>
  <c r="J673" i="2"/>
  <c r="G675" i="2"/>
  <c r="J675" i="2" s="1"/>
  <c r="G674" i="2"/>
  <c r="G676" i="2" s="1"/>
  <c r="J676" i="2" s="1"/>
  <c r="H659" i="2"/>
  <c r="H658" i="2"/>
  <c r="G656" i="2"/>
  <c r="J656" i="2" s="1"/>
  <c r="I644" i="2"/>
  <c r="G641" i="2"/>
  <c r="G595" i="2"/>
  <c r="J595" i="2" s="1"/>
  <c r="G582" i="2"/>
  <c r="G604" i="2" s="1"/>
  <c r="G629" i="2" s="1"/>
  <c r="J629" i="2" s="1"/>
  <c r="G581" i="2"/>
  <c r="G601" i="2" s="1"/>
  <c r="G625" i="2" s="1"/>
  <c r="J625" i="2" s="1"/>
  <c r="G580" i="2"/>
  <c r="G598" i="2" s="1"/>
  <c r="G621" i="2" s="1"/>
  <c r="J621" i="2" s="1"/>
  <c r="I580" i="2"/>
  <c r="I642" i="2" s="1"/>
  <c r="I579" i="2"/>
  <c r="I641" i="2" s="1"/>
  <c r="I581" i="2"/>
  <c r="I643" i="2" s="1"/>
  <c r="D1409" i="2"/>
  <c r="D1416" i="2" s="1"/>
  <c r="D1399" i="2"/>
  <c r="D1406" i="2" s="1"/>
  <c r="C1398" i="2"/>
  <c r="C1399" i="2" s="1"/>
  <c r="C1409" i="2" s="1"/>
  <c r="K1416" i="2"/>
  <c r="J1413" i="2"/>
  <c r="J1416" i="2" s="1"/>
  <c r="F188" i="7" s="1"/>
  <c r="K1406" i="2"/>
  <c r="J1403" i="2"/>
  <c r="J1406" i="2" s="1"/>
  <c r="F187" i="7" s="1"/>
  <c r="K1373" i="2"/>
  <c r="D1365" i="2"/>
  <c r="D1373" i="2" s="1"/>
  <c r="D1354" i="2"/>
  <c r="D1362" i="2" s="1"/>
  <c r="K1362" i="2"/>
  <c r="K1351" i="2"/>
  <c r="D1342" i="2"/>
  <c r="D1351" i="2" s="1"/>
  <c r="K1339" i="2"/>
  <c r="J1337" i="2"/>
  <c r="D1330" i="2"/>
  <c r="D1339" i="2" s="1"/>
  <c r="D1329" i="2"/>
  <c r="D1318" i="2"/>
  <c r="D1327" i="2" s="1"/>
  <c r="K1327" i="2"/>
  <c r="D1309" i="2"/>
  <c r="D1316" i="2" s="1"/>
  <c r="K1316" i="2"/>
  <c r="D1298" i="2"/>
  <c r="D1306" i="2" s="1"/>
  <c r="K1306" i="2"/>
  <c r="D1285" i="2"/>
  <c r="D1284" i="2"/>
  <c r="C1285" i="2"/>
  <c r="C1286" i="2" s="1"/>
  <c r="C1298" i="2" s="1"/>
  <c r="K1247" i="2"/>
  <c r="D1238" i="2"/>
  <c r="D1247" i="2" s="1"/>
  <c r="D1237" i="2"/>
  <c r="K1234" i="2"/>
  <c r="D1225" i="2"/>
  <c r="D1234" i="2" s="1"/>
  <c r="D1224" i="2"/>
  <c r="D1199" i="2"/>
  <c r="D1187" i="2"/>
  <c r="D1196" i="2" s="1"/>
  <c r="K1196" i="2"/>
  <c r="D1186" i="2"/>
  <c r="D1213" i="2"/>
  <c r="D1221" i="2" s="1"/>
  <c r="K1221" i="2"/>
  <c r="K1210" i="2"/>
  <c r="D1200" i="2"/>
  <c r="D1210" i="2" s="1"/>
  <c r="C161" i="7"/>
  <c r="C162" i="7" s="1"/>
  <c r="D1185" i="2"/>
  <c r="D1206" i="2" s="1"/>
  <c r="C1186" i="2"/>
  <c r="K1180" i="2"/>
  <c r="D1157" i="2"/>
  <c r="D1167" i="2" s="1"/>
  <c r="K1167" i="2"/>
  <c r="K1154" i="2"/>
  <c r="D1133" i="2"/>
  <c r="D1143" i="2" s="1"/>
  <c r="D1132" i="2"/>
  <c r="K1143" i="2"/>
  <c r="K1129" i="2"/>
  <c r="D1120" i="2"/>
  <c r="D1119" i="2"/>
  <c r="D1129" i="2" s="1"/>
  <c r="D1118" i="2"/>
  <c r="D1139" i="2" s="1"/>
  <c r="C1119" i="2"/>
  <c r="C1120" i="2" s="1"/>
  <c r="D1109" i="2"/>
  <c r="D1115" i="2" s="1"/>
  <c r="D1100" i="2"/>
  <c r="D1106" i="2" s="1"/>
  <c r="K1115" i="2"/>
  <c r="G1113" i="2"/>
  <c r="J1113" i="2" s="1"/>
  <c r="J1115" i="2" s="1"/>
  <c r="F148" i="7" s="1"/>
  <c r="K1106" i="2"/>
  <c r="J1104" i="2"/>
  <c r="J1106" i="2" s="1"/>
  <c r="F147" i="7" s="1"/>
  <c r="D1092" i="2"/>
  <c r="D1097" i="2" s="1"/>
  <c r="K1097" i="2"/>
  <c r="J1095" i="2"/>
  <c r="J1097" i="2" s="1"/>
  <c r="F146" i="7" s="1"/>
  <c r="D1083" i="2"/>
  <c r="D1089" i="2" s="1"/>
  <c r="K1089" i="2"/>
  <c r="J1087" i="2"/>
  <c r="J1089" i="2" s="1"/>
  <c r="F145" i="7" s="1"/>
  <c r="D1074" i="2"/>
  <c r="D1080" i="2" s="1"/>
  <c r="K1080" i="2"/>
  <c r="J1078" i="2"/>
  <c r="J1080" i="2" s="1"/>
  <c r="F144" i="7" s="1"/>
  <c r="D1065" i="2"/>
  <c r="D1071" i="2" s="1"/>
  <c r="K1071" i="2"/>
  <c r="J1069" i="2"/>
  <c r="J1071" i="2" s="1"/>
  <c r="F143" i="7" s="1"/>
  <c r="K1062" i="2"/>
  <c r="J1060" i="2"/>
  <c r="J1062" i="2" s="1"/>
  <c r="F142" i="7" s="1"/>
  <c r="D1044" i="2"/>
  <c r="D1052" i="2" s="1"/>
  <c r="D1035" i="2"/>
  <c r="D1042" i="2" s="1"/>
  <c r="D1034" i="2"/>
  <c r="D1025" i="2"/>
  <c r="D1032" i="2" s="1"/>
  <c r="D1024" i="2"/>
  <c r="D1016" i="2"/>
  <c r="D1022" i="2" s="1"/>
  <c r="D1015" i="2"/>
  <c r="K1052" i="2"/>
  <c r="J1050" i="2"/>
  <c r="J1052" i="2" s="1"/>
  <c r="F140" i="7" s="1"/>
  <c r="K1042" i="2"/>
  <c r="J1040" i="2"/>
  <c r="J1042" i="2" s="1"/>
  <c r="F139" i="7" s="1"/>
  <c r="K1032" i="2"/>
  <c r="J1030" i="2"/>
  <c r="J1032" i="2" s="1"/>
  <c r="F137" i="7" s="1"/>
  <c r="G1020" i="2"/>
  <c r="J1020" i="2" s="1"/>
  <c r="J1022" i="2" s="1"/>
  <c r="F135" i="7" s="1"/>
  <c r="D1007" i="2"/>
  <c r="D1013" i="2" s="1"/>
  <c r="K1013" i="2"/>
  <c r="J1011" i="2"/>
  <c r="J1013" i="2" s="1"/>
  <c r="F133" i="7" s="1"/>
  <c r="C107" i="7" l="1"/>
  <c r="C815" i="2"/>
  <c r="C835" i="2" s="1"/>
  <c r="C899" i="2" s="1"/>
  <c r="C900" i="2" s="1"/>
  <c r="J813" i="2"/>
  <c r="J831" i="2" s="1"/>
  <c r="J833" i="2" s="1"/>
  <c r="J911" i="2"/>
  <c r="F116" i="7" s="1"/>
  <c r="J788" i="2"/>
  <c r="F101" i="7" s="1"/>
  <c r="J1327" i="2"/>
  <c r="F178" i="7" s="1"/>
  <c r="J1260" i="2"/>
  <c r="F170" i="7" s="1"/>
  <c r="J1271" i="2"/>
  <c r="F171" i="7" s="1"/>
  <c r="J1295" i="2"/>
  <c r="F175" i="7" s="1"/>
  <c r="J1178" i="2"/>
  <c r="J1180" i="2" s="1"/>
  <c r="F157" i="7" s="1"/>
  <c r="J1281" i="2"/>
  <c r="F172" i="7" s="1"/>
  <c r="J527" i="2"/>
  <c r="J897" i="2"/>
  <c r="F114" i="7" s="1"/>
  <c r="J1165" i="2"/>
  <c r="C1309" i="2"/>
  <c r="C1318" i="2" s="1"/>
  <c r="D1291" i="2"/>
  <c r="J632" i="2"/>
  <c r="F83" i="7" s="1"/>
  <c r="J1141" i="2"/>
  <c r="J1143" i="2" s="1"/>
  <c r="J732" i="2"/>
  <c r="J604" i="2"/>
  <c r="J641" i="2"/>
  <c r="J884" i="2"/>
  <c r="F113" i="7" s="1"/>
  <c r="J1219" i="2"/>
  <c r="J1221" i="2" s="1"/>
  <c r="F165" i="7" s="1"/>
  <c r="J579" i="2"/>
  <c r="J598" i="2"/>
  <c r="J601" i="2"/>
  <c r="J1316" i="2"/>
  <c r="F177" i="7" s="1"/>
  <c r="J1247" i="2"/>
  <c r="F169" i="7" s="1"/>
  <c r="F164" i="7"/>
  <c r="F176" i="7"/>
  <c r="J512" i="2"/>
  <c r="F71" i="7" s="1"/>
  <c r="J687" i="2"/>
  <c r="G748" i="2"/>
  <c r="G763" i="2"/>
  <c r="J763" i="2" s="1"/>
  <c r="G773" i="2"/>
  <c r="G796" i="2" s="1"/>
  <c r="J796" i="2" s="1"/>
  <c r="G761" i="2"/>
  <c r="J761" i="2" s="1"/>
  <c r="G774" i="2"/>
  <c r="G797" i="2" s="1"/>
  <c r="J797" i="2" s="1"/>
  <c r="G775" i="2"/>
  <c r="G762" i="2"/>
  <c r="J762" i="2" s="1"/>
  <c r="G750" i="2"/>
  <c r="J750" i="2" s="1"/>
  <c r="G749" i="2"/>
  <c r="J749" i="2" s="1"/>
  <c r="G733" i="2"/>
  <c r="J733" i="2" s="1"/>
  <c r="G735" i="2"/>
  <c r="J735" i="2" s="1"/>
  <c r="G734" i="2"/>
  <c r="J734" i="2" s="1"/>
  <c r="G712" i="2"/>
  <c r="J712" i="2" s="1"/>
  <c r="G711" i="2"/>
  <c r="J711" i="2" s="1"/>
  <c r="G713" i="2"/>
  <c r="J713" i="2" s="1"/>
  <c r="J674" i="2"/>
  <c r="J678" i="2" s="1"/>
  <c r="F89" i="7" s="1"/>
  <c r="J690" i="2"/>
  <c r="G643" i="2"/>
  <c r="J643" i="2" s="1"/>
  <c r="G657" i="2"/>
  <c r="G658" i="2"/>
  <c r="G659" i="2"/>
  <c r="G642" i="2"/>
  <c r="J642" i="2" s="1"/>
  <c r="G644" i="2"/>
  <c r="J644" i="2" s="1"/>
  <c r="J1351" i="2"/>
  <c r="F181" i="7" s="1"/>
  <c r="J1339" i="2"/>
  <c r="F180" i="7" s="1"/>
  <c r="J1373" i="2"/>
  <c r="F183" i="7" s="1"/>
  <c r="J1362" i="2"/>
  <c r="F182" i="7" s="1"/>
  <c r="D1230" i="2"/>
  <c r="C1329" i="2"/>
  <c r="C1330" i="2" s="1"/>
  <c r="C1342" i="2" s="1"/>
  <c r="C1354" i="2" s="1"/>
  <c r="C1365" i="2" s="1"/>
  <c r="C1376" i="2" s="1"/>
  <c r="C1387" i="2" s="1"/>
  <c r="D1192" i="2"/>
  <c r="C1187" i="2"/>
  <c r="C1199" i="2"/>
  <c r="C163" i="7"/>
  <c r="C166" i="7" s="1"/>
  <c r="D1176" i="2"/>
  <c r="D1163" i="2"/>
  <c r="D1125" i="2"/>
  <c r="C1132" i="2"/>
  <c r="C816" i="2" l="1"/>
  <c r="J606" i="2"/>
  <c r="J765" i="2"/>
  <c r="J646" i="2"/>
  <c r="J775" i="2"/>
  <c r="G798" i="2"/>
  <c r="J798" i="2" s="1"/>
  <c r="J1167" i="2"/>
  <c r="F155" i="7"/>
  <c r="H1152" i="2"/>
  <c r="J1152" i="2" s="1"/>
  <c r="F153" i="7"/>
  <c r="J737" i="2"/>
  <c r="F95" i="7" s="1"/>
  <c r="C167" i="7"/>
  <c r="C168" i="7"/>
  <c r="C169" i="7" s="1"/>
  <c r="C1200" i="2"/>
  <c r="C1213" i="2" s="1"/>
  <c r="C1225" i="2" s="1"/>
  <c r="C1224" i="2"/>
  <c r="C1237" i="2" s="1"/>
  <c r="C1263" i="2" s="1"/>
  <c r="C1133" i="2"/>
  <c r="C1146" i="2" s="1"/>
  <c r="C1157" i="2" s="1"/>
  <c r="C1170" i="2"/>
  <c r="C1171" i="2" l="1"/>
  <c r="C1183" i="2"/>
  <c r="J800" i="2"/>
  <c r="F103" i="7" s="1"/>
  <c r="J1154" i="2"/>
  <c r="F154" i="7"/>
  <c r="C1274" i="2"/>
  <c r="C1238" i="2"/>
  <c r="C1250" i="2" s="1"/>
  <c r="D998" i="2" l="1"/>
  <c r="D1005" i="2" s="1"/>
  <c r="K1005" i="2"/>
  <c r="J1003" i="2"/>
  <c r="J1005" i="2" s="1"/>
  <c r="F132" i="7" s="1"/>
  <c r="D990" i="2"/>
  <c r="D996" i="2" s="1"/>
  <c r="D981" i="2"/>
  <c r="D988" i="2" s="1"/>
  <c r="D980" i="2"/>
  <c r="D979" i="2"/>
  <c r="K996" i="2"/>
  <c r="J994" i="2"/>
  <c r="J996" i="2" s="1"/>
  <c r="F131" i="7" s="1"/>
  <c r="K988" i="2"/>
  <c r="J986" i="2"/>
  <c r="J988" i="2" s="1"/>
  <c r="F130" i="7" s="1"/>
  <c r="C979" i="2"/>
  <c r="C980" i="2" s="1"/>
  <c r="K977" i="2"/>
  <c r="D971" i="2"/>
  <c r="D977" i="2" s="1"/>
  <c r="D970" i="2"/>
  <c r="D959" i="2"/>
  <c r="D968" i="2" s="1"/>
  <c r="J968" i="2"/>
  <c r="F125" i="7" s="1"/>
  <c r="K945" i="2"/>
  <c r="D945" i="2"/>
  <c r="D927" i="2"/>
  <c r="K935" i="2"/>
  <c r="J935" i="2"/>
  <c r="F121" i="7" s="1"/>
  <c r="D926" i="2"/>
  <c r="D935" i="2" s="1"/>
  <c r="K924" i="2"/>
  <c r="H976" i="2"/>
  <c r="D915" i="2"/>
  <c r="D924" i="2" s="1"/>
  <c r="D914" i="2"/>
  <c r="C914" i="2"/>
  <c r="D913" i="2"/>
  <c r="D865" i="2"/>
  <c r="K884" i="2"/>
  <c r="D863" i="2"/>
  <c r="K863" i="2"/>
  <c r="J861" i="2"/>
  <c r="J863" i="2" s="1"/>
  <c r="K846" i="2"/>
  <c r="G841" i="2"/>
  <c r="D1055" i="2"/>
  <c r="C1056" i="2"/>
  <c r="C1065" i="2" s="1"/>
  <c r="C1074" i="2" s="1"/>
  <c r="C1083" i="2" s="1"/>
  <c r="C1092" i="2" s="1"/>
  <c r="C1100" i="2" s="1"/>
  <c r="C1109" i="2" s="1"/>
  <c r="D1056" i="2"/>
  <c r="D1062" i="2" s="1"/>
  <c r="D836" i="2"/>
  <c r="D846" i="2" s="1"/>
  <c r="D802" i="2"/>
  <c r="D650" i="2"/>
  <c r="J976" i="2" l="1"/>
  <c r="J977" i="2" s="1"/>
  <c r="F127" i="7" s="1"/>
  <c r="J841" i="2"/>
  <c r="J846" i="2" s="1"/>
  <c r="F111" i="7" s="1"/>
  <c r="F112" i="7"/>
  <c r="H943" i="2"/>
  <c r="J956" i="2"/>
  <c r="F123" i="7" s="1"/>
  <c r="C981" i="2"/>
  <c r="C990" i="2" s="1"/>
  <c r="C998" i="2" s="1"/>
  <c r="C1007" i="2" s="1"/>
  <c r="C1015" i="2"/>
  <c r="J924" i="2"/>
  <c r="F119" i="7" s="1"/>
  <c r="C926" i="2"/>
  <c r="C915" i="2"/>
  <c r="C836" i="2"/>
  <c r="C848" i="2" s="1"/>
  <c r="C865" i="2" s="1"/>
  <c r="C886" i="2" s="1"/>
  <c r="J943" i="2" l="1"/>
  <c r="J945" i="2" s="1"/>
  <c r="F122" i="7" s="1"/>
  <c r="F108" i="7"/>
  <c r="C1016" i="2"/>
  <c r="C1024" i="2"/>
  <c r="C927" i="2"/>
  <c r="C937" i="2" s="1"/>
  <c r="C958" i="2"/>
  <c r="F109" i="7" l="1"/>
  <c r="C947" i="2"/>
  <c r="C1034" i="2"/>
  <c r="C1035" i="2" s="1"/>
  <c r="C1044" i="2" s="1"/>
  <c r="C1025" i="2"/>
  <c r="C959" i="2"/>
  <c r="C970" i="2"/>
  <c r="C971" i="2" s="1"/>
  <c r="D147" i="2" l="1"/>
  <c r="D97" i="2"/>
  <c r="D104" i="2" s="1"/>
  <c r="K104" i="2"/>
  <c r="J101" i="2"/>
  <c r="J104" i="2" s="1"/>
  <c r="F24" i="7" s="1"/>
  <c r="D87" i="2"/>
  <c r="D94" i="2" s="1"/>
  <c r="K94" i="2"/>
  <c r="J91" i="2"/>
  <c r="J94" i="2" s="1"/>
  <c r="F23" i="7" s="1"/>
  <c r="K84" i="2" l="1"/>
  <c r="J81" i="2"/>
  <c r="J84" i="2" s="1"/>
  <c r="F22" i="7" s="1"/>
  <c r="D77" i="2" l="1"/>
  <c r="D84" i="2" s="1"/>
  <c r="C129" i="7" l="1"/>
  <c r="C130" i="7" s="1"/>
  <c r="C131" i="7" s="1"/>
  <c r="C132" i="7" s="1"/>
  <c r="C133" i="7" s="1"/>
  <c r="C118" i="7"/>
  <c r="C119" i="7" s="1"/>
  <c r="C108" i="7"/>
  <c r="C109" i="7" s="1"/>
  <c r="C142" i="7"/>
  <c r="C143" i="7" s="1"/>
  <c r="C144" i="7" s="1"/>
  <c r="C145" i="7" s="1"/>
  <c r="C146" i="7" s="1"/>
  <c r="C147" i="7" s="1"/>
  <c r="C148" i="7" s="1"/>
  <c r="C150" i="7"/>
  <c r="C151" i="7" s="1"/>
  <c r="C134" i="7" l="1"/>
  <c r="C120" i="7"/>
  <c r="C110" i="7"/>
  <c r="C111" i="7" s="1"/>
  <c r="C112" i="7" s="1"/>
  <c r="D754" i="2"/>
  <c r="C113" i="7" l="1"/>
  <c r="C114" i="7" s="1"/>
  <c r="C116" i="7" s="1"/>
  <c r="C115" i="7"/>
  <c r="C136" i="7"/>
  <c r="C135" i="7"/>
  <c r="C121" i="7"/>
  <c r="C122" i="7" s="1"/>
  <c r="C123" i="7" s="1"/>
  <c r="C124" i="7"/>
  <c r="J692" i="2"/>
  <c r="F90" i="7" s="1"/>
  <c r="H393" i="2"/>
  <c r="J393" i="2" s="1"/>
  <c r="J476" i="2"/>
  <c r="D342" i="2"/>
  <c r="D227" i="2"/>
  <c r="H184" i="2"/>
  <c r="J184" i="2" s="1"/>
  <c r="C126" i="7" l="1"/>
  <c r="C127" i="7" s="1"/>
  <c r="C125" i="7"/>
  <c r="C138" i="7"/>
  <c r="C139" i="7" s="1"/>
  <c r="C140" i="7" s="1"/>
  <c r="C137" i="7"/>
  <c r="K545" i="2"/>
  <c r="H535" i="2"/>
  <c r="J535" i="2" s="1"/>
  <c r="J537" i="2" s="1"/>
  <c r="D537" i="2"/>
  <c r="K537" i="2"/>
  <c r="J543" i="2" l="1"/>
  <c r="J545" i="2" s="1"/>
  <c r="F76" i="7" s="1"/>
  <c r="F75" i="7"/>
  <c r="J774" i="2" l="1"/>
  <c r="J773" i="2"/>
  <c r="J772" i="2"/>
  <c r="J659" i="2"/>
  <c r="J658" i="2"/>
  <c r="J657" i="2"/>
  <c r="H559" i="2"/>
  <c r="J559" i="2" s="1"/>
  <c r="H558" i="2"/>
  <c r="J558" i="2" s="1"/>
  <c r="H556" i="2"/>
  <c r="J556" i="2" s="1"/>
  <c r="H557" i="2"/>
  <c r="J557" i="2" s="1"/>
  <c r="G426" i="2"/>
  <c r="G488" i="2" s="1"/>
  <c r="H366" i="2"/>
  <c r="J366" i="2" s="1"/>
  <c r="H351" i="2"/>
  <c r="H350" i="2"/>
  <c r="H349" i="2"/>
  <c r="D366" i="2"/>
  <c r="D365" i="2"/>
  <c r="D367" i="2"/>
  <c r="D364" i="2"/>
  <c r="D351" i="2"/>
  <c r="D350" i="2"/>
  <c r="D349" i="2"/>
  <c r="D348" i="2"/>
  <c r="H311" i="2"/>
  <c r="J311" i="2" s="1"/>
  <c r="H310" i="2"/>
  <c r="J310" i="2" s="1"/>
  <c r="H309" i="2"/>
  <c r="H365" i="2" s="1"/>
  <c r="J365" i="2" s="1"/>
  <c r="H308" i="2"/>
  <c r="J294" i="2"/>
  <c r="J295" i="2"/>
  <c r="J292" i="2"/>
  <c r="G218" i="2"/>
  <c r="H190" i="2"/>
  <c r="J190" i="2" s="1"/>
  <c r="H189" i="2"/>
  <c r="J189" i="2" s="1"/>
  <c r="H185" i="2"/>
  <c r="J185" i="2" s="1"/>
  <c r="H183" i="2"/>
  <c r="J183" i="2" s="1"/>
  <c r="H160" i="2"/>
  <c r="H159" i="2"/>
  <c r="H158" i="2"/>
  <c r="H188" i="2" s="1"/>
  <c r="J188" i="2" s="1"/>
  <c r="J121" i="2"/>
  <c r="H157" i="2"/>
  <c r="H187" i="2" s="1"/>
  <c r="J187" i="2" s="1"/>
  <c r="H156" i="2"/>
  <c r="H186" i="2" s="1"/>
  <c r="J186" i="2" s="1"/>
  <c r="H155" i="2"/>
  <c r="H154" i="2"/>
  <c r="H153" i="2"/>
  <c r="H348" i="2" l="1"/>
  <c r="J348" i="2" s="1"/>
  <c r="J308" i="2"/>
  <c r="J776" i="2"/>
  <c r="F99" i="7" s="1"/>
  <c r="J561" i="2"/>
  <c r="J748" i="2"/>
  <c r="J752" i="2" s="1"/>
  <c r="F97" i="7" s="1"/>
  <c r="H364" i="2"/>
  <c r="J364" i="2" s="1"/>
  <c r="H367" i="2"/>
  <c r="J367" i="2" s="1"/>
  <c r="J349" i="2"/>
  <c r="H335" i="2"/>
  <c r="J335" i="2" s="1"/>
  <c r="H336" i="2"/>
  <c r="J336" i="2" s="1"/>
  <c r="J350" i="2"/>
  <c r="J351" i="2"/>
  <c r="H248" i="2"/>
  <c r="J248" i="2" s="1"/>
  <c r="J250" i="2" s="1"/>
  <c r="N917" i="2"/>
  <c r="N918" i="2"/>
  <c r="D767" i="2"/>
  <c r="D776" i="2" s="1"/>
  <c r="K776" i="2"/>
  <c r="D765" i="2"/>
  <c r="K765" i="2"/>
  <c r="F98" i="7"/>
  <c r="D740" i="2"/>
  <c r="D752" i="2" s="1"/>
  <c r="D739" i="2"/>
  <c r="K752" i="2"/>
  <c r="D725" i="2"/>
  <c r="D737" i="2" s="1"/>
  <c r="K737" i="2"/>
  <c r="K723" i="2"/>
  <c r="D717" i="2"/>
  <c r="D723" i="2" s="1"/>
  <c r="D704" i="2"/>
  <c r="D703" i="2"/>
  <c r="D694" i="2"/>
  <c r="K692" i="2"/>
  <c r="D680" i="2"/>
  <c r="D692" i="2" s="1"/>
  <c r="K678" i="2"/>
  <c r="D665" i="2"/>
  <c r="D678" i="2" s="1"/>
  <c r="D664" i="2"/>
  <c r="D663" i="2"/>
  <c r="C514" i="2"/>
  <c r="D493" i="2"/>
  <c r="D500" i="2" s="1"/>
  <c r="D467" i="2"/>
  <c r="D466" i="2"/>
  <c r="K500" i="2"/>
  <c r="K490" i="2"/>
  <c r="K478" i="2"/>
  <c r="J478" i="2"/>
  <c r="D476" i="2"/>
  <c r="D474" i="2"/>
  <c r="D454" i="2"/>
  <c r="D463" i="2" s="1"/>
  <c r="D453" i="2"/>
  <c r="K463" i="2"/>
  <c r="D460" i="2"/>
  <c r="D439" i="2"/>
  <c r="D450" i="2" s="1"/>
  <c r="D430" i="2"/>
  <c r="D437" i="2" s="1"/>
  <c r="K450" i="2"/>
  <c r="D445" i="2"/>
  <c r="K437" i="2"/>
  <c r="K428" i="2"/>
  <c r="D419" i="2"/>
  <c r="D428" i="2" s="1"/>
  <c r="D418" i="2"/>
  <c r="K415" i="2"/>
  <c r="K405" i="2"/>
  <c r="D398" i="2"/>
  <c r="D405" i="2" s="1"/>
  <c r="K395" i="2"/>
  <c r="J395" i="2"/>
  <c r="F57" i="7" s="1"/>
  <c r="D386" i="2"/>
  <c r="D395" i="2" s="1"/>
  <c r="C385" i="2"/>
  <c r="C386" i="2" s="1"/>
  <c r="D385" i="2"/>
  <c r="D384" i="2"/>
  <c r="D373" i="2"/>
  <c r="D357" i="2"/>
  <c r="K353" i="2"/>
  <c r="D353" i="2"/>
  <c r="K338" i="2"/>
  <c r="H334" i="2"/>
  <c r="J334" i="2" s="1"/>
  <c r="D334" i="2"/>
  <c r="H333" i="2"/>
  <c r="J333" i="2" s="1"/>
  <c r="D333" i="2"/>
  <c r="D326" i="2"/>
  <c r="D338" i="2" s="1"/>
  <c r="D315" i="2"/>
  <c r="D301" i="2"/>
  <c r="D312" i="2" s="1"/>
  <c r="D300" i="2"/>
  <c r="K312" i="2"/>
  <c r="J309" i="2"/>
  <c r="D285" i="2"/>
  <c r="D283" i="2"/>
  <c r="D264" i="2"/>
  <c r="D280" i="2" s="1"/>
  <c r="J278" i="2"/>
  <c r="J277" i="2"/>
  <c r="K261" i="2"/>
  <c r="D253" i="2"/>
  <c r="D261" i="2" s="1"/>
  <c r="K250" i="2"/>
  <c r="G275" i="2"/>
  <c r="J275" i="2" s="1"/>
  <c r="G274" i="2"/>
  <c r="J274" i="2" s="1"/>
  <c r="G273" i="2"/>
  <c r="J273" i="2" s="1"/>
  <c r="D250" i="2"/>
  <c r="K224" i="2"/>
  <c r="J223" i="2"/>
  <c r="J222" i="2"/>
  <c r="J221" i="2"/>
  <c r="G220" i="2"/>
  <c r="J220" i="2" s="1"/>
  <c r="G219" i="2"/>
  <c r="J219" i="2" s="1"/>
  <c r="J218" i="2"/>
  <c r="G217" i="2"/>
  <c r="J217" i="2" s="1"/>
  <c r="D210" i="2"/>
  <c r="D224" i="2" s="1"/>
  <c r="D209" i="2"/>
  <c r="K206" i="2"/>
  <c r="D196" i="2"/>
  <c r="D206" i="2" s="1"/>
  <c r="K192" i="2"/>
  <c r="J119" i="2"/>
  <c r="J118" i="2"/>
  <c r="J117" i="2"/>
  <c r="K162" i="2"/>
  <c r="J160" i="2"/>
  <c r="J159" i="2"/>
  <c r="J157" i="2"/>
  <c r="J156" i="2"/>
  <c r="J154" i="2"/>
  <c r="J153" i="2"/>
  <c r="J116" i="2"/>
  <c r="J120" i="2"/>
  <c r="J122" i="2"/>
  <c r="J123" i="2"/>
  <c r="K125" i="2"/>
  <c r="D107" i="2"/>
  <c r="D127" i="2"/>
  <c r="D134" i="2" s="1"/>
  <c r="D59" i="2"/>
  <c r="D49" i="2"/>
  <c r="D48" i="2"/>
  <c r="K45" i="2"/>
  <c r="J43" i="2"/>
  <c r="J45" i="2" s="1"/>
  <c r="F16" i="7" s="1"/>
  <c r="D39" i="2"/>
  <c r="D38" i="2"/>
  <c r="D45" i="2" s="1"/>
  <c r="J338" i="2" l="1"/>
  <c r="F48" i="7" s="1"/>
  <c r="J312" i="2"/>
  <c r="F46" i="7" s="1"/>
  <c r="J369" i="2"/>
  <c r="F52" i="7" s="1"/>
  <c r="J224" i="2"/>
  <c r="F37" i="7" s="1"/>
  <c r="J125" i="2"/>
  <c r="F27" i="7" s="1"/>
  <c r="J353" i="2"/>
  <c r="F50" i="7" s="1"/>
  <c r="F67" i="7"/>
  <c r="H447" i="2"/>
  <c r="J447" i="2" s="1"/>
  <c r="J450" i="2" s="1"/>
  <c r="F63" i="7" s="1"/>
  <c r="D391" i="2"/>
  <c r="D458" i="2" s="1"/>
  <c r="H699" i="2"/>
  <c r="H460" i="2"/>
  <c r="J460" i="2" s="1"/>
  <c r="J463" i="2" s="1"/>
  <c r="F65" i="7" s="1"/>
  <c r="G272" i="2"/>
  <c r="J272" i="2" s="1"/>
  <c r="J498" i="2"/>
  <c r="J500" i="2" s="1"/>
  <c r="F69" i="7" s="1"/>
  <c r="D424" i="2"/>
  <c r="C418" i="2"/>
  <c r="D202" i="2"/>
  <c r="J280" i="2" l="1"/>
  <c r="F41" i="7" s="1"/>
  <c r="C419" i="2"/>
  <c r="C430" i="2" s="1"/>
  <c r="C439" i="2" s="1"/>
  <c r="C453" i="2"/>
  <c r="H321" i="2"/>
  <c r="J321" i="2" s="1"/>
  <c r="J405" i="2"/>
  <c r="F58" i="7" s="1"/>
  <c r="M917" i="2"/>
  <c r="M918" i="2" s="1"/>
  <c r="H413" i="2" l="1"/>
  <c r="J413" i="2" s="1"/>
  <c r="J415" i="2" s="1"/>
  <c r="J426" i="2"/>
  <c r="J428" i="2" s="1"/>
  <c r="F61" i="7" s="1"/>
  <c r="J488" i="2"/>
  <c r="J490" i="2" s="1"/>
  <c r="F68" i="7" s="1"/>
  <c r="F59" i="7" l="1"/>
  <c r="H435" i="2"/>
  <c r="J435" i="2" s="1"/>
  <c r="J437" i="2" s="1"/>
  <c r="F62" i="7" s="1"/>
  <c r="C454" i="2"/>
  <c r="C466" i="2"/>
  <c r="C467" i="2" l="1"/>
  <c r="C481" i="2" s="1"/>
  <c r="C493" i="2" s="1"/>
  <c r="C503" i="2" s="1"/>
  <c r="C502" i="2"/>
  <c r="C174" i="7"/>
  <c r="C175" i="7" s="1"/>
  <c r="C176" i="7" s="1"/>
  <c r="C177" i="7" s="1"/>
  <c r="C178" i="7" s="1"/>
  <c r="C73" i="7"/>
  <c r="C74" i="7" s="1"/>
  <c r="C75" i="7" s="1"/>
  <c r="C76" i="7" s="1"/>
  <c r="C56" i="7"/>
  <c r="C43" i="7"/>
  <c r="C45" i="7" s="1"/>
  <c r="C179" i="7" l="1"/>
  <c r="C49" i="7"/>
  <c r="C50" i="7" s="1"/>
  <c r="C46" i="7"/>
  <c r="C47" i="7" s="1"/>
  <c r="C48" i="7" s="1"/>
  <c r="C326" i="2" s="1"/>
  <c r="C44" i="7"/>
  <c r="C180" i="7" l="1"/>
  <c r="C51" i="7"/>
  <c r="C52" i="7" l="1"/>
  <c r="C54" i="7" s="1"/>
  <c r="C373" i="2" s="1"/>
  <c r="C53" i="7"/>
  <c r="C181" i="7"/>
  <c r="C182" i="7" s="1"/>
  <c r="C183" i="7" s="1"/>
  <c r="C184" i="7" s="1"/>
  <c r="C185" i="7" s="1"/>
  <c r="C664" i="2"/>
  <c r="C703" i="2" s="1"/>
  <c r="C739" i="2" s="1"/>
  <c r="C778" i="2" s="1"/>
  <c r="K35" i="2"/>
  <c r="J33" i="2"/>
  <c r="J35" i="2" s="1"/>
  <c r="F14" i="7" s="1"/>
  <c r="C779" i="2" l="1"/>
  <c r="C790" i="2"/>
  <c r="C740" i="2"/>
  <c r="C754" i="2" s="1"/>
  <c r="C767" i="2" s="1"/>
  <c r="C791" i="2" s="1"/>
  <c r="D109" i="2" l="1"/>
  <c r="D125" i="2" s="1"/>
  <c r="D715" i="2"/>
  <c r="K715" i="2"/>
  <c r="J715" i="2"/>
  <c r="F93" i="7" s="1"/>
  <c r="C88" i="7"/>
  <c r="K701" i="2"/>
  <c r="C665" i="2"/>
  <c r="D608" i="2"/>
  <c r="D632" i="2" s="1"/>
  <c r="D634" i="2"/>
  <c r="D600" i="2"/>
  <c r="D581" i="2"/>
  <c r="D643" i="2" s="1"/>
  <c r="D594" i="2"/>
  <c r="D586" i="2"/>
  <c r="D606" i="2" s="1"/>
  <c r="F582" i="2"/>
  <c r="F581" i="2"/>
  <c r="D579" i="2"/>
  <c r="D641" i="2" s="1"/>
  <c r="D577" i="2"/>
  <c r="D573" i="2"/>
  <c r="D572" i="2"/>
  <c r="K661" i="2"/>
  <c r="K646" i="2"/>
  <c r="D639" i="2"/>
  <c r="K606" i="2"/>
  <c r="K584" i="2"/>
  <c r="D563" i="2"/>
  <c r="D570" i="2" s="1"/>
  <c r="D559" i="2"/>
  <c r="D603" i="2" s="1"/>
  <c r="D628" i="2" s="1"/>
  <c r="D558" i="2"/>
  <c r="D557" i="2"/>
  <c r="D597" i="2" s="1"/>
  <c r="D556" i="2"/>
  <c r="D616" i="2" s="1"/>
  <c r="D554" i="2"/>
  <c r="D548" i="2"/>
  <c r="D561" i="2" s="1"/>
  <c r="D547" i="2"/>
  <c r="C515" i="2"/>
  <c r="K570" i="2"/>
  <c r="K561" i="2"/>
  <c r="K527" i="2"/>
  <c r="D516" i="2"/>
  <c r="D527" i="2" s="1"/>
  <c r="D515" i="2"/>
  <c r="D514" i="2"/>
  <c r="C187" i="7"/>
  <c r="C188" i="7" s="1"/>
  <c r="F82" i="7" l="1"/>
  <c r="J582" i="2"/>
  <c r="G721" i="2"/>
  <c r="J721" i="2" s="1"/>
  <c r="J723" i="2" s="1"/>
  <c r="F94" i="7" s="1"/>
  <c r="D624" i="2"/>
  <c r="C164" i="7"/>
  <c r="C165" i="7" s="1"/>
  <c r="C89" i="7"/>
  <c r="C90" i="7" s="1"/>
  <c r="C91" i="7" s="1"/>
  <c r="C92" i="7"/>
  <c r="C96" i="7" s="1"/>
  <c r="C100" i="7" s="1"/>
  <c r="C102" i="7" s="1"/>
  <c r="C516" i="2"/>
  <c r="C529" i="2" s="1"/>
  <c r="C539" i="2" s="1"/>
  <c r="C547" i="2"/>
  <c r="C704" i="2"/>
  <c r="C717" i="2" s="1"/>
  <c r="C725" i="2" s="1"/>
  <c r="C680" i="2"/>
  <c r="C694" i="2" s="1"/>
  <c r="D620" i="2"/>
  <c r="D582" i="2"/>
  <c r="D644" i="2" s="1"/>
  <c r="D580" i="2"/>
  <c r="D642" i="2" s="1"/>
  <c r="J581" i="2"/>
  <c r="J580" i="2"/>
  <c r="F78" i="7"/>
  <c r="D584" i="2"/>
  <c r="F74" i="7"/>
  <c r="J584" i="2" l="1"/>
  <c r="F81" i="7" s="1"/>
  <c r="H568" i="2"/>
  <c r="J568" i="2" s="1"/>
  <c r="J570" i="2" s="1"/>
  <c r="F79" i="7" s="1"/>
  <c r="C170" i="7"/>
  <c r="C171" i="7" s="1"/>
  <c r="C172" i="7" s="1"/>
  <c r="C93" i="7"/>
  <c r="C94" i="7" s="1"/>
  <c r="C95" i="7" s="1"/>
  <c r="C572" i="2"/>
  <c r="C548" i="2"/>
  <c r="C563" i="2" s="1"/>
  <c r="J699" i="2"/>
  <c r="J701" i="2" s="1"/>
  <c r="F91" i="7" s="1"/>
  <c r="D701" i="2"/>
  <c r="J661" i="2"/>
  <c r="F86" i="7" s="1"/>
  <c r="C573" i="2" l="1"/>
  <c r="C586" i="2" s="1"/>
  <c r="C608" i="2" s="1"/>
  <c r="C634" i="2" s="1"/>
  <c r="C650" i="2" s="1"/>
  <c r="D661" i="2" s="1"/>
  <c r="C649" i="2"/>
  <c r="C152" i="7"/>
  <c r="C153" i="7" s="1"/>
  <c r="F84" i="7"/>
  <c r="C97" i="7"/>
  <c r="C98" i="7" s="1"/>
  <c r="C99" i="7" s="1"/>
  <c r="C101" i="7" s="1"/>
  <c r="C103" i="7" s="1"/>
  <c r="D646" i="2"/>
  <c r="C154" i="7" l="1"/>
  <c r="C155" i="7" s="1"/>
  <c r="C156" i="7"/>
  <c r="C157" i="7" s="1"/>
  <c r="C77" i="7" l="1"/>
  <c r="C78" i="7" s="1"/>
  <c r="C79" i="7" s="1"/>
  <c r="C80" i="7" l="1"/>
  <c r="C81" i="7" s="1"/>
  <c r="C82" i="7" s="1"/>
  <c r="C83" i="7" l="1"/>
  <c r="C84" i="7" s="1"/>
  <c r="C86" i="7" s="1"/>
  <c r="C85" i="7"/>
  <c r="C284" i="2"/>
  <c r="D175" i="2"/>
  <c r="D192" i="2" s="1"/>
  <c r="D165" i="2"/>
  <c r="K172" i="2"/>
  <c r="D146" i="2"/>
  <c r="D162" i="2" s="1"/>
  <c r="K297" i="2"/>
  <c r="J323" i="2"/>
  <c r="F47" i="7" s="1"/>
  <c r="K323" i="2"/>
  <c r="K144" i="2"/>
  <c r="D137" i="2"/>
  <c r="K134" i="2"/>
  <c r="J132" i="2"/>
  <c r="J134" i="2" s="1"/>
  <c r="F28" i="7" s="1"/>
  <c r="C107" i="2"/>
  <c r="C285" i="2" l="1"/>
  <c r="C300" i="2"/>
  <c r="C108" i="2"/>
  <c r="G142" i="2"/>
  <c r="D172" i="2"/>
  <c r="D144" i="2"/>
  <c r="J142" i="2" l="1"/>
  <c r="J144" i="2" s="1"/>
  <c r="F29" i="7" s="1"/>
  <c r="C301" i="2"/>
  <c r="C341" i="2"/>
  <c r="J155" i="2"/>
  <c r="C146" i="2"/>
  <c r="C109" i="2"/>
  <c r="J158" i="2"/>
  <c r="J162" i="2" l="1"/>
  <c r="F31" i="7" s="1"/>
  <c r="J192" i="2"/>
  <c r="F33" i="7" s="1"/>
  <c r="C356" i="2"/>
  <c r="C357" i="2" s="1"/>
  <c r="C372" i="2" s="1"/>
  <c r="C342" i="2"/>
  <c r="C127" i="2"/>
  <c r="C137" i="2" s="1"/>
  <c r="C195" i="2"/>
  <c r="C147" i="2"/>
  <c r="C165" i="2" s="1"/>
  <c r="C175" i="2" s="1"/>
  <c r="C315" i="2"/>
  <c r="H202" i="2" l="1"/>
  <c r="F38" i="7"/>
  <c r="H170" i="2"/>
  <c r="C209" i="2"/>
  <c r="C263" i="2" s="1"/>
  <c r="C196" i="2"/>
  <c r="J202" i="2" l="1"/>
  <c r="J206" i="2" s="1"/>
  <c r="F35" i="7" s="1"/>
  <c r="J170" i="2"/>
  <c r="J172" i="2" s="1"/>
  <c r="F32" i="7" s="1"/>
  <c r="H259" i="2"/>
  <c r="J259" i="2" s="1"/>
  <c r="J261" i="2" s="1"/>
  <c r="F39" i="7" s="1"/>
  <c r="C210" i="2"/>
  <c r="G17" i="9" l="1"/>
  <c r="I28" i="7" l="1"/>
  <c r="I21" i="7"/>
  <c r="D9" i="2" l="1"/>
  <c r="K381" i="2"/>
  <c r="C26" i="7" l="1"/>
  <c r="C30" i="7" s="1"/>
  <c r="C60" i="7"/>
  <c r="C64" i="7" s="1"/>
  <c r="C11" i="7"/>
  <c r="K369" i="2"/>
  <c r="C15" i="7" l="1"/>
  <c r="C17" i="7" s="1"/>
  <c r="C19" i="7" s="1"/>
  <c r="C61" i="7"/>
  <c r="C62" i="7" s="1"/>
  <c r="C63" i="7" s="1"/>
  <c r="C27" i="7"/>
  <c r="C28" i="7" s="1"/>
  <c r="C29" i="7" s="1"/>
  <c r="C31" i="7"/>
  <c r="C34" i="7"/>
  <c r="C57" i="7"/>
  <c r="C58" i="7" s="1"/>
  <c r="C59" i="7" s="1"/>
  <c r="C12" i="7"/>
  <c r="C13" i="7" s="1"/>
  <c r="C14" i="7" s="1"/>
  <c r="C18" i="7" l="1"/>
  <c r="C65" i="7"/>
  <c r="C32" i="7"/>
  <c r="C33" i="7" s="1"/>
  <c r="C36" i="7"/>
  <c r="C40" i="7" s="1"/>
  <c r="C41" i="7" s="1"/>
  <c r="C35" i="7"/>
  <c r="J293" i="2"/>
  <c r="J297" i="2" l="1"/>
  <c r="F44" i="7" s="1"/>
  <c r="C16" i="7"/>
  <c r="C20" i="7"/>
  <c r="C21" i="7" s="1"/>
  <c r="C22" i="7" s="1"/>
  <c r="C23" i="7" s="1"/>
  <c r="C24" i="7" s="1"/>
  <c r="C66" i="7"/>
  <c r="C37" i="7"/>
  <c r="C38" i="7" s="1"/>
  <c r="C39" i="7" l="1"/>
  <c r="C227" i="2"/>
  <c r="C253" i="2" s="1"/>
  <c r="C264" i="2" s="1"/>
  <c r="D108" i="2"/>
  <c r="C67" i="7"/>
  <c r="C68" i="7" l="1"/>
  <c r="C10" i="2"/>
  <c r="C69" i="7" l="1"/>
  <c r="C71" i="7" s="1"/>
  <c r="C70" i="7"/>
  <c r="D10" i="2"/>
  <c r="C38" i="2"/>
  <c r="C39" i="2" l="1"/>
  <c r="C48" i="2"/>
  <c r="O163" i="8"/>
  <c r="L160" i="8" l="1"/>
  <c r="L161" i="8" s="1"/>
  <c r="D381" i="2" l="1"/>
  <c r="D379" i="2"/>
  <c r="I160" i="8"/>
  <c r="J160" i="8" s="1"/>
  <c r="K156" i="8" l="1"/>
  <c r="L156" i="8"/>
  <c r="M155" i="8"/>
  <c r="M156" i="8" s="1"/>
  <c r="J156" i="8"/>
  <c r="I156" i="8"/>
  <c r="H156" i="8" l="1"/>
  <c r="K65" i="2"/>
  <c r="J63" i="2"/>
  <c r="J65" i="2" s="1"/>
  <c r="F20" i="7" s="1"/>
  <c r="H379" i="2" l="1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6" i="6"/>
  <c r="G39" i="6"/>
  <c r="H39" i="6"/>
  <c r="G36" i="6"/>
  <c r="H36" i="6"/>
  <c r="G37" i="6"/>
  <c r="H37" i="6"/>
  <c r="G38" i="6"/>
  <c r="H38" i="6"/>
  <c r="G7" i="6"/>
  <c r="H7" i="6"/>
  <c r="G8" i="6"/>
  <c r="H8" i="6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H23" i="6"/>
  <c r="G24" i="6"/>
  <c r="H24" i="6"/>
  <c r="G25" i="6"/>
  <c r="H25" i="6"/>
  <c r="G26" i="6"/>
  <c r="H26" i="6"/>
  <c r="G27" i="6"/>
  <c r="H27" i="6"/>
  <c r="G28" i="6"/>
  <c r="H28" i="6"/>
  <c r="G29" i="6"/>
  <c r="H29" i="6"/>
  <c r="G30" i="6"/>
  <c r="H30" i="6"/>
  <c r="G31" i="6"/>
  <c r="H31" i="6"/>
  <c r="G32" i="6"/>
  <c r="H32" i="6"/>
  <c r="G33" i="6"/>
  <c r="H33" i="6"/>
  <c r="G34" i="6"/>
  <c r="H34" i="6"/>
  <c r="G35" i="6"/>
  <c r="H35" i="6"/>
  <c r="H6" i="6"/>
  <c r="G6" i="6"/>
  <c r="J379" i="2" l="1"/>
  <c r="J381" i="2" s="1"/>
  <c r="F54" i="7" s="1"/>
  <c r="D539" i="2" s="1"/>
  <c r="D545" i="2" s="1"/>
  <c r="E28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7" i="6"/>
  <c r="E8" i="6" l="1"/>
  <c r="E9" i="6"/>
  <c r="E10" i="6"/>
  <c r="E11" i="6"/>
  <c r="E12" i="6"/>
  <c r="E13" i="6"/>
  <c r="E14" i="6"/>
  <c r="E15" i="6"/>
  <c r="E16" i="6"/>
  <c r="E17" i="6"/>
  <c r="E19" i="6"/>
  <c r="E20" i="6"/>
  <c r="E21" i="6"/>
  <c r="E22" i="6"/>
  <c r="E23" i="6"/>
  <c r="E24" i="6"/>
  <c r="E25" i="6"/>
  <c r="E26" i="6"/>
  <c r="E27" i="6"/>
  <c r="E29" i="6"/>
  <c r="E30" i="6"/>
  <c r="E31" i="6"/>
  <c r="E32" i="6"/>
  <c r="E33" i="6"/>
  <c r="E34" i="6"/>
  <c r="E36" i="6"/>
  <c r="E37" i="6"/>
  <c r="E38" i="6"/>
  <c r="E7" i="6"/>
  <c r="E35" i="6" l="1"/>
  <c r="E18" i="6"/>
  <c r="E39" i="6" s="1"/>
  <c r="A40" i="3" l="1"/>
  <c r="A41" i="3" s="1"/>
  <c r="A45" i="3" s="1"/>
  <c r="A42" i="3" l="1"/>
  <c r="A43" i="3" s="1"/>
  <c r="A44" i="3" s="1"/>
  <c r="B5" i="3" l="1"/>
  <c r="B4" i="3"/>
  <c r="K74" i="2" l="1"/>
  <c r="J72" i="2"/>
  <c r="J74" i="2" s="1"/>
  <c r="F21" i="7" s="1"/>
  <c r="B3" i="3"/>
  <c r="C398" i="2" l="1"/>
  <c r="D369" i="2" l="1"/>
  <c r="C408" i="2"/>
  <c r="A58" i="3"/>
  <c r="D408" i="2" l="1"/>
  <c r="D415" i="2" s="1"/>
  <c r="A59" i="3"/>
  <c r="A60" i="3" l="1"/>
  <c r="A61" i="3"/>
  <c r="A62" i="3" s="1"/>
  <c r="A63" i="3" s="1"/>
  <c r="A65" i="3" l="1"/>
  <c r="A66" i="3" l="1"/>
  <c r="A67" i="3" s="1"/>
  <c r="A68" i="3" l="1"/>
  <c r="A64" i="3"/>
  <c r="A9" i="3"/>
  <c r="A69" i="3" l="1"/>
  <c r="A10" i="3"/>
  <c r="A12" i="3"/>
  <c r="A17" i="3" s="1"/>
  <c r="A23" i="3" s="1"/>
  <c r="A24" i="3" s="1"/>
  <c r="A25" i="3" s="1"/>
  <c r="A70" i="3" l="1"/>
  <c r="A28" i="3"/>
  <c r="A30" i="3" s="1"/>
  <c r="A31" i="3" s="1"/>
  <c r="A11" i="3"/>
  <c r="A13" i="3"/>
  <c r="A14" i="3" s="1"/>
  <c r="A15" i="3" s="1"/>
  <c r="A71" i="3" l="1"/>
  <c r="A34" i="3"/>
  <c r="A37" i="3" s="1"/>
  <c r="A29" i="3"/>
  <c r="A32" i="3"/>
  <c r="A16" i="3"/>
  <c r="A26" i="3"/>
  <c r="A72" i="3" l="1"/>
  <c r="A35" i="3"/>
  <c r="A36" i="3" s="1"/>
  <c r="A46" i="3"/>
  <c r="A49" i="3"/>
  <c r="A33" i="3"/>
  <c r="A27" i="3"/>
  <c r="A51" i="3" l="1"/>
  <c r="A50" i="3"/>
  <c r="A47" i="3"/>
  <c r="A38" i="3" l="1"/>
  <c r="A39" i="3" s="1"/>
  <c r="A48" i="3"/>
  <c r="A52" i="3"/>
  <c r="A18" i="3"/>
  <c r="A53" i="3" l="1"/>
  <c r="A54" i="3" s="1"/>
  <c r="A19" i="3"/>
  <c r="A55" i="3" l="1"/>
  <c r="A20" i="3"/>
  <c r="A56" i="3" l="1"/>
  <c r="A57" i="3" s="1"/>
  <c r="A21" i="3"/>
  <c r="A22" i="3" l="1"/>
  <c r="K55" i="2" l="1"/>
  <c r="J53" i="2"/>
  <c r="J55" i="2" s="1"/>
  <c r="F18" i="7" s="1"/>
  <c r="K26" i="2"/>
  <c r="J24" i="2"/>
  <c r="J26" i="2" s="1"/>
  <c r="F13" i="7" s="1"/>
  <c r="K17" i="2"/>
  <c r="J15" i="2"/>
  <c r="J17" i="2" s="1"/>
  <c r="F12" i="7" s="1"/>
  <c r="C11" i="2" l="1"/>
  <c r="D11" i="2" s="1"/>
  <c r="D17" i="2" s="1"/>
  <c r="C49" i="2" l="1"/>
  <c r="D55" i="2" s="1"/>
  <c r="C58" i="2"/>
  <c r="C20" i="2"/>
  <c r="D20" i="2" l="1"/>
  <c r="D26" i="2" s="1"/>
  <c r="C29" i="2"/>
  <c r="C59" i="2"/>
  <c r="D29" i="2" l="1"/>
  <c r="D35" i="2" s="1"/>
  <c r="C68" i="2"/>
  <c r="D65" i="2"/>
  <c r="D68" i="2" l="1"/>
  <c r="D74" i="2" s="1"/>
  <c r="C77" i="2"/>
  <c r="C87" i="2" s="1"/>
  <c r="C97" i="2" s="1"/>
  <c r="C43" i="3"/>
  <c r="D43" i="3"/>
  <c r="D67" i="3" l="1"/>
  <c r="C67" i="3"/>
  <c r="B67" i="3"/>
  <c r="D68" i="3"/>
  <c r="C68" i="3"/>
  <c r="B68" i="3"/>
  <c r="D69" i="3"/>
  <c r="B69" i="3"/>
  <c r="C69" i="3"/>
  <c r="D70" i="3"/>
  <c r="B70" i="3"/>
  <c r="C70" i="3"/>
  <c r="D71" i="3"/>
  <c r="B71" i="3"/>
  <c r="C71" i="3"/>
  <c r="D72" i="3"/>
  <c r="C72" i="3"/>
  <c r="B72" i="3"/>
  <c r="D54" i="3"/>
  <c r="B54" i="3"/>
  <c r="C54" i="3"/>
  <c r="D55" i="3"/>
  <c r="B55" i="3"/>
  <c r="C55" i="3"/>
  <c r="D57" i="3"/>
  <c r="C56" i="3"/>
  <c r="C57" i="3"/>
  <c r="B56" i="3"/>
  <c r="D56" i="3"/>
  <c r="B57" i="3"/>
  <c r="B39" i="3"/>
  <c r="B44" i="3"/>
  <c r="C44" i="3"/>
  <c r="D44" i="3"/>
  <c r="B43" i="3"/>
  <c r="D39" i="3"/>
  <c r="C39" i="3"/>
  <c r="B42" i="3"/>
  <c r="C38" i="3"/>
  <c r="B53" i="3"/>
  <c r="B50" i="3"/>
  <c r="B45" i="3"/>
  <c r="B49" i="3"/>
  <c r="B51" i="3"/>
  <c r="C22" i="3"/>
  <c r="B48" i="3"/>
  <c r="B41" i="3"/>
  <c r="B60" i="3"/>
  <c r="B38" i="3"/>
  <c r="C52" i="3"/>
  <c r="B52" i="3"/>
  <c r="C50" i="3"/>
  <c r="D18" i="3"/>
  <c r="B59" i="3"/>
  <c r="C47" i="3"/>
  <c r="D21" i="3"/>
  <c r="C42" i="3"/>
  <c r="C60" i="3"/>
  <c r="B37" i="3"/>
  <c r="C46" i="3"/>
  <c r="B46" i="3"/>
  <c r="B40" i="3"/>
  <c r="D20" i="3"/>
  <c r="C18" i="3"/>
  <c r="C53" i="3"/>
  <c r="B47" i="3"/>
  <c r="C48" i="3"/>
  <c r="B20" i="3"/>
  <c r="B19" i="3"/>
  <c r="B32" i="3"/>
  <c r="C19" i="3"/>
  <c r="B30" i="3"/>
  <c r="C36" i="3"/>
  <c r="B31" i="3"/>
  <c r="D19" i="3"/>
  <c r="B22" i="3"/>
  <c r="C21" i="3"/>
  <c r="D22" i="3"/>
  <c r="B21" i="3"/>
  <c r="C33" i="3"/>
  <c r="C31" i="3"/>
  <c r="B36" i="3"/>
  <c r="B17" i="3"/>
  <c r="B18" i="3"/>
  <c r="C20" i="3"/>
  <c r="C32" i="3"/>
  <c r="B34" i="3"/>
  <c r="B35" i="3"/>
  <c r="C35" i="3"/>
  <c r="B15" i="3"/>
  <c r="C15" i="3"/>
  <c r="C16" i="3"/>
  <c r="B16" i="3"/>
  <c r="B12" i="3"/>
  <c r="B27" i="3"/>
  <c r="C27" i="3"/>
  <c r="C14" i="3"/>
  <c r="B14" i="3"/>
  <c r="B24" i="3"/>
  <c r="C64" i="3"/>
  <c r="C66" i="3"/>
  <c r="B65" i="3"/>
  <c r="B66" i="3"/>
  <c r="B25" i="3"/>
  <c r="C24" i="3"/>
  <c r="B9" i="3"/>
  <c r="B13" i="3"/>
  <c r="B28" i="3"/>
  <c r="C10" i="3"/>
  <c r="C26" i="3"/>
  <c r="C13" i="3"/>
  <c r="B23" i="3"/>
  <c r="C11" i="3"/>
  <c r="B10" i="3"/>
  <c r="B8" i="3"/>
  <c r="B26" i="3"/>
  <c r="B29" i="3"/>
  <c r="C25" i="3"/>
  <c r="B11" i="3"/>
  <c r="B64" i="3"/>
  <c r="B63" i="3"/>
  <c r="B58" i="3"/>
  <c r="C62" i="3"/>
  <c r="B62" i="3"/>
  <c r="C63" i="3"/>
  <c r="B61" i="3"/>
  <c r="C29" i="3"/>
  <c r="D25" i="3" l="1"/>
  <c r="D53" i="3" l="1"/>
  <c r="D48" i="3"/>
  <c r="D47" i="3"/>
  <c r="D52" i="3"/>
  <c r="D50" i="3"/>
  <c r="D46" i="3"/>
  <c r="D31" i="3"/>
  <c r="D35" i="3"/>
  <c r="D32" i="3"/>
  <c r="D33" i="3"/>
  <c r="D36" i="3"/>
  <c r="D26" i="3"/>
  <c r="D24" i="3"/>
  <c r="D27" i="3"/>
  <c r="D29" i="3"/>
  <c r="B33" i="3"/>
  <c r="D64" i="3"/>
  <c r="D62" i="3"/>
  <c r="D63" i="3"/>
  <c r="D66" i="3"/>
  <c r="D13" i="3"/>
  <c r="D10" i="3"/>
  <c r="D11" i="3"/>
  <c r="D38" i="3" l="1"/>
  <c r="D60" i="3"/>
  <c r="D42" i="3"/>
  <c r="D14" i="3"/>
  <c r="D15" i="3"/>
  <c r="D16" i="3"/>
  <c r="D323" i="2" l="1"/>
  <c r="D297" i="2"/>
</calcChain>
</file>

<file path=xl/sharedStrings.xml><?xml version="1.0" encoding="utf-8"?>
<sst xmlns="http://schemas.openxmlformats.org/spreadsheetml/2006/main" count="2253" uniqueCount="665">
  <si>
    <t>PLANILLA DE METRADOS</t>
  </si>
  <si>
    <t>PROYECTO:</t>
  </si>
  <si>
    <t>FECHA:</t>
  </si>
  <si>
    <t>UND</t>
  </si>
  <si>
    <t>CANT</t>
  </si>
  <si>
    <t>LARGO</t>
  </si>
  <si>
    <t>ANCHO</t>
  </si>
  <si>
    <t>PARCIAL</t>
  </si>
  <si>
    <t>MOVIMIENTO DE TIERRAS</t>
  </si>
  <si>
    <t>ML</t>
  </si>
  <si>
    <t>M2</t>
  </si>
  <si>
    <t>ALTO</t>
  </si>
  <si>
    <t>M3</t>
  </si>
  <si>
    <t>N° VECES</t>
  </si>
  <si>
    <t>Area=</t>
  </si>
  <si>
    <t>Vol=</t>
  </si>
  <si>
    <t>UBICACIÓN:</t>
  </si>
  <si>
    <t>GLB</t>
  </si>
  <si>
    <t>OBRAS PROVISIONALES</t>
  </si>
  <si>
    <t>DESCRIPCION</t>
  </si>
  <si>
    <t>Corresponde a la confección, instalación y desistalación de un cartel de identificación de la obra</t>
  </si>
  <si>
    <t>Corresponde a la construcción de una caseta para la obra o el alquiler de un inmueble destinado a la oficina para el contratista, la supervisión y el almacén de obra  y servicio higienico.</t>
  </si>
  <si>
    <t>Incluye la movilización del personal y equipo necesario para ejecutar la obra, dentro del radio de urbano de Lima</t>
  </si>
  <si>
    <t>Se refiere al perfilado y compactación de la subrasante, asegurandose de alcanzar los niveles especificados en los planos</t>
  </si>
  <si>
    <t>Se refiere a la eliminación del material excedente proveniente de las excavaciones realizadas.</t>
  </si>
  <si>
    <t>Se refiere a la colocación y compactación de la capa de base granular, que será de espesor especificada en los planos.</t>
  </si>
  <si>
    <t>Se refiere al curado de las estructuras del concreto por un mínimo de 7 días</t>
  </si>
  <si>
    <t>ITEM</t>
  </si>
  <si>
    <t>PARTIDAS</t>
  </si>
  <si>
    <t>UNIDAD</t>
  </si>
  <si>
    <t>METRADO</t>
  </si>
  <si>
    <t>VEREDAS</t>
  </si>
  <si>
    <t>ALT</t>
  </si>
  <si>
    <t>MES</t>
  </si>
  <si>
    <t>RESUMEN DE METRADOS</t>
  </si>
  <si>
    <t>SEGURIDAD Y SALUD</t>
  </si>
  <si>
    <t>Se refiere a los trabajos para capacitación de seguridad y salud al persona de la obra</t>
  </si>
  <si>
    <t>VILLA EL SALVADOR - LIMA - LIMA</t>
  </si>
  <si>
    <t>ALQUILER DE ALMACÉN, OFICINA Y CASETA DE GUARDIANÍA</t>
  </si>
  <si>
    <t>TRAMO 04</t>
  </si>
  <si>
    <t>TRAMO 05</t>
  </si>
  <si>
    <t>TRAMO 06</t>
  </si>
  <si>
    <t>TRAMO 11</t>
  </si>
  <si>
    <t>TRAMO 12</t>
  </si>
  <si>
    <t>TRAMO 13</t>
  </si>
  <si>
    <t>TRAMO 16</t>
  </si>
  <si>
    <t>TRAMO 20</t>
  </si>
  <si>
    <t>TRAMO 30</t>
  </si>
  <si>
    <t>Se refiere a las juntas transversales a rellenarse con material asfáltico para evitar fisuras en el concreto, que se colocaran cada 4m</t>
  </si>
  <si>
    <t>CUADRO DE AREAS</t>
  </si>
  <si>
    <t>AREA (M2)</t>
  </si>
  <si>
    <t>AREA TOTAL=</t>
  </si>
  <si>
    <t>CALLES INTERNAS</t>
  </si>
  <si>
    <t>LONGITUD</t>
  </si>
  <si>
    <t>m</t>
  </si>
  <si>
    <t>MITIGACION AMBIENTAL</t>
  </si>
  <si>
    <t>AREA=</t>
  </si>
  <si>
    <t xml:space="preserve">Se refiere al corte del terreno natural hasta alcanzar la cota de subrasante indicado en los planos. </t>
  </si>
  <si>
    <t xml:space="preserve"> </t>
  </si>
  <si>
    <t>AREA =</t>
  </si>
  <si>
    <t xml:space="preserve">RESUMEN DE METRADOS </t>
  </si>
  <si>
    <t xml:space="preserve">PROYECTO:       </t>
  </si>
  <si>
    <t xml:space="preserve">UBICACION:        </t>
  </si>
  <si>
    <t xml:space="preserve">FECHA:    </t>
  </si>
  <si>
    <t>und</t>
  </si>
  <si>
    <t>mes</t>
  </si>
  <si>
    <t>glb</t>
  </si>
  <si>
    <t>m2</t>
  </si>
  <si>
    <t>m3</t>
  </si>
  <si>
    <t>ml</t>
  </si>
  <si>
    <t>Item</t>
  </si>
  <si>
    <t>Descripción</t>
  </si>
  <si>
    <t>Und.</t>
  </si>
  <si>
    <t>Metrado</t>
  </si>
  <si>
    <t>01</t>
  </si>
  <si>
    <t>OBRAS PROVISIONALES, TRABAJOS PRELIMINARES, SEGURIDAD Y SALUD</t>
  </si>
  <si>
    <t>02</t>
  </si>
  <si>
    <t>03</t>
  </si>
  <si>
    <t>04</t>
  </si>
  <si>
    <t>Tipo de Elemento</t>
  </si>
  <si>
    <t>Concreto prensado</t>
  </si>
  <si>
    <t>0,06</t>
  </si>
  <si>
    <t>Concreto armado expuesto a la acción de cloruros</t>
  </si>
  <si>
    <t>0,10</t>
  </si>
  <si>
    <t>0,15</t>
  </si>
  <si>
    <t>0,80</t>
  </si>
  <si>
    <t>Contenido máximo de ión cloruro soluble en agua en el concreto, expresado como % en peso del cemento</t>
  </si>
  <si>
    <t>Concreto armado no protegido que puede estar sometido a un ambiente húmedo pero no expuesto a cloruros (incluye ubicaciones donde el concreto puede estar ocasionalmente húmedo tales como cocinas, garajes, estructuras ribereñas y áreas con humedad potencial por condensación)</t>
  </si>
  <si>
    <t>Concreto armado que deberá estar seco o protegido de la humedad durante su vida por medio de recubrimientos impermeables.</t>
  </si>
  <si>
    <t>Características</t>
  </si>
  <si>
    <t>Norma de Ensayo</t>
  </si>
  <si>
    <t>Masa Total de la Muestra</t>
  </si>
  <si>
    <t>Terrones de arcilla y partículas deleznables</t>
  </si>
  <si>
    <t>MTC E 212</t>
  </si>
  <si>
    <t>1.00 % (máx.)</t>
  </si>
  <si>
    <t>Material que pasa el tamiz de 75 μm (N° 200)</t>
  </si>
  <si>
    <t>MTC E 202</t>
  </si>
  <si>
    <t>5.00 % (máx.)</t>
  </si>
  <si>
    <t>Cantidad de partículas livianas</t>
  </si>
  <si>
    <t>MTC E 211</t>
  </si>
  <si>
    <t>0.50 % (máx.)</t>
  </si>
  <si>
    <t>Contenido de sulfatos, expresado como SO4=</t>
  </si>
  <si>
    <t>1.20 % (máx.)</t>
  </si>
  <si>
    <t>TAMIZ (mm)</t>
  </si>
  <si>
    <t>PORCENTAJE QUE PASA</t>
  </si>
  <si>
    <t>9.5 mm (3/8")</t>
  </si>
  <si>
    <t>4.75 mm No. 4</t>
  </si>
  <si>
    <t>95-100</t>
  </si>
  <si>
    <t>2.36 mm No. 8</t>
  </si>
  <si>
    <t>80 – 100</t>
  </si>
  <si>
    <t>1.18 mm No. 16</t>
  </si>
  <si>
    <t>50 – 85</t>
  </si>
  <si>
    <t>600 mm No. 30</t>
  </si>
  <si>
    <t>25 – 60</t>
  </si>
  <si>
    <t>300 mm No. 50</t>
  </si>
  <si>
    <t>10 – 30</t>
  </si>
  <si>
    <t>150 mm No. 100</t>
  </si>
  <si>
    <t>2 – 10</t>
  </si>
  <si>
    <t>0.25 % (máx.)</t>
  </si>
  <si>
    <t>Contenido de carbón y lignito</t>
  </si>
  <si>
    <t>MTC E 215</t>
  </si>
  <si>
    <t>0.5% máx.</t>
  </si>
  <si>
    <t>Tamiz</t>
  </si>
  <si>
    <t>Porcentaje que pasa</t>
  </si>
  <si>
    <t>AG-1</t>
  </si>
  <si>
    <t>AG-2</t>
  </si>
  <si>
    <t>AG-3</t>
  </si>
  <si>
    <t>AG-4</t>
  </si>
  <si>
    <t>AG-5</t>
  </si>
  <si>
    <t>AG-6</t>
  </si>
  <si>
    <t>AG-7</t>
  </si>
  <si>
    <t>63 mm (2,5'')</t>
  </si>
  <si>
    <t>-</t>
  </si>
  <si>
    <t>50 mm (2'')</t>
  </si>
  <si>
    <t>37,5 mm (1 ½'')</t>
  </si>
  <si>
    <t>90-100</t>
  </si>
  <si>
    <t>35-70</t>
  </si>
  <si>
    <t>25,0 mm (1'')</t>
  </si>
  <si>
    <t>20-55</t>
  </si>
  <si>
    <t>0-15</t>
  </si>
  <si>
    <t>19,0 mm (3/4'')</t>
  </si>
  <si>
    <t>12,5 mm (1/2'')</t>
  </si>
  <si>
    <t>25-60</t>
  </si>
  <si>
    <t>0-5</t>
  </si>
  <si>
    <t>9,5 mm (3/8'')</t>
  </si>
  <si>
    <t>40-70</t>
  </si>
  <si>
    <t>4,75 mm (N° 4)</t>
  </si>
  <si>
    <t>0-10</t>
  </si>
  <si>
    <t>2,36 mm (N° 8)</t>
  </si>
  <si>
    <t>Muros Armados vigas y columna</t>
  </si>
  <si>
    <t>Muros sin Armar</t>
  </si>
  <si>
    <t>Losas ligeramente armadas o sin armar</t>
  </si>
  <si>
    <t>2 ½ - 5</t>
  </si>
  <si>
    <t>½ - 3/4</t>
  </si>
  <si>
    <t>3/4 - 1 ½</t>
  </si>
  <si>
    <t>1 ½</t>
  </si>
  <si>
    <t>1 ½ - 3</t>
  </si>
  <si>
    <t>6 -11</t>
  </si>
  <si>
    <t>12 -29</t>
  </si>
  <si>
    <t>3 -5</t>
  </si>
  <si>
    <t>3/4</t>
  </si>
  <si>
    <t>3/4 - 1</t>
  </si>
  <si>
    <t>Losas fuertemente armadas</t>
  </si>
  <si>
    <t>Dimensión Min. de la sección en pulgadas</t>
  </si>
  <si>
    <t>Dióxido de titanio</t>
  </si>
  <si>
    <t>Min. 57%</t>
  </si>
  <si>
    <t>Caucho clorado-alquírico</t>
  </si>
  <si>
    <t>Min. 41%</t>
  </si>
  <si>
    <t>Aromáticos</t>
  </si>
  <si>
    <t>75 a 85 (Unidades Krebbs)</t>
  </si>
  <si>
    <t>Escala Hegman. Min 3</t>
  </si>
  <si>
    <t>Al tacto: 5 - 10 minutos.</t>
  </si>
  <si>
    <t>Para el libre tránsito de vehículos 25 ± 5 minutos.</t>
  </si>
  <si>
    <t>Buena</t>
  </si>
  <si>
    <t>Bueno</t>
  </si>
  <si>
    <t>No presenta señales de cuarteado, descortezado ni decoloración.  No presenta ablandamiento, ampollamiento ni pérdida de adherencia.</t>
  </si>
  <si>
    <t>No presenta arrugas, ampollas, cuarteado ni pegajosidad. No presenta granos ni agujeros.</t>
  </si>
  <si>
    <t>Apariencia de la película seca:</t>
  </si>
  <si>
    <t>Resistencia a la Abrasión</t>
  </si>
  <si>
    <t>Seca en LITROS/MILS:</t>
  </si>
  <si>
    <t>Reflactancia Direccional:</t>
  </si>
  <si>
    <t>Poder Cubriente:</t>
  </si>
  <si>
    <t>Flexibilidad</t>
  </si>
  <si>
    <t>(Mandril cónico ½"):</t>
  </si>
  <si>
    <t>Resistencia al Agua (lámina pintada sumergida en agua durante 6 horas):</t>
  </si>
  <si>
    <t xml:space="preserve">Tiempo de Secado Completo: </t>
  </si>
  <si>
    <t>Tiempo de Secado:</t>
  </si>
  <si>
    <t>Fineza o Grado de Molienda:</t>
  </si>
  <si>
    <t>Viscosidad:</t>
  </si>
  <si>
    <t>Densidad:</t>
  </si>
  <si>
    <t>Solventes:</t>
  </si>
  <si>
    <t>Vehículo:</t>
  </si>
  <si>
    <t>% vehículo no volátil:</t>
  </si>
  <si>
    <t>Pigmento en peso:</t>
  </si>
  <si>
    <t>Tipo de pigmento principal:</t>
  </si>
  <si>
    <t>Resistencia especificada a la compresión, MPa</t>
  </si>
  <si>
    <t>Resistencia promedio requerida a la compresión, MPa</t>
  </si>
  <si>
    <t>f’c £ 35</t>
  </si>
  <si>
    <t>f’c &gt;35</t>
  </si>
  <si>
    <t>Usar el mayor valor obtenido de las ecuaciones (5-1) y (5-2): f’cr = f’c + 1,34 Ss (5-1) f’cr = f’c + 2,33 Ss - 3,5 (5-2)</t>
  </si>
  <si>
    <t>Usar el mayor valor obtenido de las ecuaciones (5-1) y (5-3): f’cr = f’c + 1,34 Ss (5-1)   f’cr =0,90 f’c + 2,33 Ss (5-3)</t>
  </si>
  <si>
    <r>
      <t xml:space="preserve">f’c </t>
    </r>
    <r>
      <rPr>
        <sz val="8"/>
        <color theme="1"/>
        <rFont val="Symbol"/>
        <family val="1"/>
        <charset val="2"/>
      </rPr>
      <t>£</t>
    </r>
    <r>
      <rPr>
        <sz val="8"/>
        <color rgb="FF000000"/>
        <rFont val="Calibri"/>
        <family val="2"/>
        <scheme val="minor"/>
      </rPr>
      <t xml:space="preserve"> 35</t>
    </r>
  </si>
  <si>
    <t>Usar el mayor valor obtenido de las ecuaciones (5-1) y (5-2):  f’cr = f’c + 1,34 Ss (5-1)    f’cr = f’c + 2,33 Ss - 3,5 (5-2)</t>
  </si>
  <si>
    <t>Usar el mayor valor obtenido de las ecuaciones (5-1) y (5-3):  f’cr = f’c + 1,34 Ss (5-1)   f’cr =0,90 f’c + 2,33 Ss (5-3)</t>
  </si>
  <si>
    <r>
      <t xml:space="preserve">f’c </t>
    </r>
    <r>
      <rPr>
        <sz val="8"/>
        <color theme="1"/>
        <rFont val="Symbol"/>
        <family val="1"/>
        <charset val="2"/>
      </rPr>
      <t>&lt;21</t>
    </r>
  </si>
  <si>
    <r>
      <t xml:space="preserve">f’cr = f’c </t>
    </r>
    <r>
      <rPr>
        <sz val="8"/>
        <color theme="1"/>
        <rFont val="Times New Roman"/>
        <family val="1"/>
      </rPr>
      <t xml:space="preserve">+ </t>
    </r>
    <r>
      <rPr>
        <sz val="8"/>
        <color theme="1"/>
        <rFont val="Arial"/>
        <family val="2"/>
      </rPr>
      <t>7,0</t>
    </r>
  </si>
  <si>
    <r>
      <t xml:space="preserve">21 </t>
    </r>
    <r>
      <rPr>
        <sz val="8"/>
        <color theme="1"/>
        <rFont val="Symbol"/>
        <family val="1"/>
        <charset val="2"/>
      </rPr>
      <t xml:space="preserve">£ </t>
    </r>
    <r>
      <rPr>
        <i/>
        <sz val="8"/>
        <color theme="1"/>
        <rFont val="Times New Roman,Italic"/>
      </rPr>
      <t xml:space="preserve">f’c </t>
    </r>
    <r>
      <rPr>
        <sz val="8"/>
        <color theme="1"/>
        <rFont val="Symbol"/>
        <family val="1"/>
        <charset val="2"/>
      </rPr>
      <t xml:space="preserve">£ </t>
    </r>
    <r>
      <rPr>
        <sz val="8"/>
        <color theme="1"/>
        <rFont val="Arial"/>
        <family val="2"/>
      </rPr>
      <t>35</t>
    </r>
  </si>
  <si>
    <r>
      <t>f’cr = f’</t>
    </r>
    <r>
      <rPr>
        <i/>
        <sz val="8"/>
        <color theme="1"/>
        <rFont val="Times New Roman"/>
        <family val="1"/>
      </rPr>
      <t xml:space="preserve">c </t>
    </r>
    <r>
      <rPr>
        <sz val="8"/>
        <color theme="1"/>
        <rFont val="Times New Roman"/>
        <family val="1"/>
      </rPr>
      <t xml:space="preserve">+ </t>
    </r>
    <r>
      <rPr>
        <sz val="8"/>
        <color theme="1"/>
        <rFont val="Arial"/>
        <family val="2"/>
      </rPr>
      <t>8,5</t>
    </r>
  </si>
  <si>
    <r>
      <t xml:space="preserve">f’cr = </t>
    </r>
    <r>
      <rPr>
        <sz val="8"/>
        <color theme="1"/>
        <rFont val="Arial"/>
        <family val="2"/>
      </rPr>
      <t xml:space="preserve">1,1 </t>
    </r>
    <r>
      <rPr>
        <i/>
        <sz val="8"/>
        <color theme="1"/>
        <rFont val="Times New Roman,Italic"/>
      </rPr>
      <t xml:space="preserve">f’c </t>
    </r>
    <r>
      <rPr>
        <sz val="8"/>
        <color theme="1"/>
        <rFont val="Times New Roman"/>
        <family val="1"/>
      </rPr>
      <t xml:space="preserve">+ </t>
    </r>
    <r>
      <rPr>
        <sz val="8"/>
        <color theme="1"/>
        <rFont val="Arial"/>
        <family val="2"/>
      </rPr>
      <t>5,0</t>
    </r>
  </si>
  <si>
    <t>Gradación</t>
  </si>
  <si>
    <t>A</t>
  </si>
  <si>
    <t>B</t>
  </si>
  <si>
    <t>C</t>
  </si>
  <si>
    <t>D</t>
  </si>
  <si>
    <t>2”</t>
  </si>
  <si>
    <t>1”</t>
  </si>
  <si>
    <t>75-95</t>
  </si>
  <si>
    <t>3/8 “</t>
  </si>
  <si>
    <t>30-65</t>
  </si>
  <si>
    <t>40-75</t>
  </si>
  <si>
    <t>50-85</t>
  </si>
  <si>
    <t xml:space="preserve">      60-100</t>
  </si>
  <si>
    <r>
      <t>N</t>
    </r>
    <r>
      <rPr>
        <sz val="11"/>
        <color rgb="FF000000"/>
        <rFont val="Symbol"/>
        <family val="1"/>
        <charset val="2"/>
      </rPr>
      <t>°</t>
    </r>
    <r>
      <rPr>
        <sz val="11"/>
        <color rgb="FF000000"/>
        <rFont val="Calibri"/>
        <family val="2"/>
        <scheme val="minor"/>
      </rPr>
      <t>4 (4.75 mm)</t>
    </r>
  </si>
  <si>
    <t>25-55</t>
  </si>
  <si>
    <t>30-60</t>
  </si>
  <si>
    <t>35-65</t>
  </si>
  <si>
    <t xml:space="preserve">      50-85</t>
  </si>
  <si>
    <r>
      <t>N</t>
    </r>
    <r>
      <rPr>
        <sz val="11"/>
        <color rgb="FF000000"/>
        <rFont val="Symbol"/>
        <family val="1"/>
        <charset val="2"/>
      </rPr>
      <t>°</t>
    </r>
    <r>
      <rPr>
        <sz val="11"/>
        <color rgb="FF000000"/>
        <rFont val="Calibri"/>
        <family val="2"/>
        <scheme val="minor"/>
      </rPr>
      <t>10(2.00 mm)</t>
    </r>
  </si>
  <si>
    <t>15-40</t>
  </si>
  <si>
    <t>20-45</t>
  </si>
  <si>
    <t>25-50</t>
  </si>
  <si>
    <t xml:space="preserve">      40-70</t>
  </si>
  <si>
    <r>
      <t>N</t>
    </r>
    <r>
      <rPr>
        <sz val="11"/>
        <color rgb="FF000000"/>
        <rFont val="Symbol"/>
        <family val="1"/>
        <charset val="2"/>
      </rPr>
      <t>°</t>
    </r>
    <r>
      <rPr>
        <sz val="11"/>
        <color rgb="FF000000"/>
        <rFont val="Calibri"/>
        <family val="2"/>
        <scheme val="minor"/>
      </rPr>
      <t>40(4.25 um)</t>
    </r>
  </si>
  <si>
    <t>15-30</t>
  </si>
  <si>
    <t xml:space="preserve">     25-45</t>
  </si>
  <si>
    <r>
      <t>N</t>
    </r>
    <r>
      <rPr>
        <sz val="11"/>
        <color rgb="FF000000"/>
        <rFont val="Symbol"/>
        <family val="1"/>
        <charset val="2"/>
      </rPr>
      <t>°</t>
    </r>
    <r>
      <rPr>
        <sz val="11"/>
        <color rgb="FF000000"/>
        <rFont val="Calibri"/>
        <family val="2"/>
        <scheme val="minor"/>
      </rPr>
      <t>200(75 um)</t>
    </r>
  </si>
  <si>
    <t xml:space="preserve"> 5-15</t>
  </si>
  <si>
    <t xml:space="preserve">       8-15</t>
  </si>
  <si>
    <t>2-8</t>
  </si>
  <si>
    <t>5-15</t>
  </si>
  <si>
    <t>8-20</t>
  </si>
  <si>
    <t>ENSAYO</t>
  </si>
  <si>
    <t>Norma</t>
  </si>
  <si>
    <t>MTC</t>
  </si>
  <si>
    <t>ASTM</t>
  </si>
  <si>
    <t>AASHTO</t>
  </si>
  <si>
    <t>Requerimientos</t>
  </si>
  <si>
    <t>Altitud</t>
  </si>
  <si>
    <t>&lt;Menor de 3000</t>
  </si>
  <si>
    <t>msnm</t>
  </si>
  <si>
    <t>&gt; ó =</t>
  </si>
  <si>
    <t>Partículas con una cara fracturada</t>
  </si>
  <si>
    <t>MTC E 210</t>
  </si>
  <si>
    <t>D 5821</t>
  </si>
  <si>
    <t>80% min.</t>
  </si>
  <si>
    <t>Partículas con dos caras fracturadas</t>
  </si>
  <si>
    <t>40% min</t>
  </si>
  <si>
    <t>50% min</t>
  </si>
  <si>
    <t>Abrasión Los Ángeles</t>
  </si>
  <si>
    <t>MTC E 207</t>
  </si>
  <si>
    <t>C  131</t>
  </si>
  <si>
    <t>T 96</t>
  </si>
  <si>
    <t>40% max</t>
  </si>
  <si>
    <t>Partículas Chatas y Alargadas (1)</t>
  </si>
  <si>
    <t>MTC E 221</t>
  </si>
  <si>
    <t>D 4791</t>
  </si>
  <si>
    <t>15% max</t>
  </si>
  <si>
    <t>Sales Solubles Totales</t>
  </si>
  <si>
    <t>MTC E 219</t>
  </si>
  <si>
    <t>D 1888</t>
  </si>
  <si>
    <t>0.5% max.</t>
  </si>
  <si>
    <t>0.5%max.</t>
  </si>
  <si>
    <t>Pérdida con sulfato de Sodio</t>
  </si>
  <si>
    <t>MTC E 209</t>
  </si>
  <si>
    <t>C 88</t>
  </si>
  <si>
    <t>T 104</t>
  </si>
  <si>
    <t>----</t>
  </si>
  <si>
    <t>12% max</t>
  </si>
  <si>
    <t>Pérdida con sulfato de Magnesio</t>
  </si>
  <si>
    <t>-----</t>
  </si>
  <si>
    <t>18% max</t>
  </si>
  <si>
    <t>NORMA</t>
  </si>
  <si>
    <t>&lt; 3000</t>
  </si>
  <si>
    <t>m.s.n.m.</t>
  </si>
  <si>
    <t>&gt; 3000</t>
  </si>
  <si>
    <t>Índice Plástico</t>
  </si>
  <si>
    <t>MTC E 111</t>
  </si>
  <si>
    <t>4% max.</t>
  </si>
  <si>
    <t>2% max.</t>
  </si>
  <si>
    <t>Equivalente de arena</t>
  </si>
  <si>
    <t>MTC E 114</t>
  </si>
  <si>
    <t>35% min.</t>
  </si>
  <si>
    <t>45% min.</t>
  </si>
  <si>
    <t>Sales solubles totales</t>
  </si>
  <si>
    <t>0.55% max.</t>
  </si>
  <si>
    <t>Índice de durabilidad</t>
  </si>
  <si>
    <t>MTC E 214</t>
  </si>
  <si>
    <t>TRABAJOS PRELIMINARES</t>
  </si>
  <si>
    <t>TRAZO Y REPLANTEO C/ EQUIPO</t>
  </si>
  <si>
    <t>VEREDA</t>
  </si>
  <si>
    <t>Se refiere al  encofrado de las veredas.</t>
  </si>
  <si>
    <t>Se refiere al vaciado de vereda con concreto premezclado de resistencia F'c=175kg/cm2.</t>
  </si>
  <si>
    <t>ELABORACION, IMPLEMENTACION Y ADMINISTRACION DE PLAN DE SEGURIDAD Y SALUD EN EL TRABAJO</t>
  </si>
  <si>
    <t>CARTEL DE IDENTIFICACION DE LA OBRA DE 4.80M x 3.60M</t>
  </si>
  <si>
    <t>MOVILIZACION Y DESMOVILIZACION DE MAQUINARIAS, EQUIPOS Y HERRAMIENTAS</t>
  </si>
  <si>
    <t>CAPACITACIÓN EN SEGURIDAD Y SALUD</t>
  </si>
  <si>
    <t>Se refiere al trazo y replanteo antes de empezas con las actividades de construccion de veredas</t>
  </si>
  <si>
    <t>JUNTA ASFALTICA E=1" PARA VEREDA</t>
  </si>
  <si>
    <t>Se refiere a la eliminación del material excedente proveniente a la demolicion de veredas existente con un fact. Esponj. 1.30</t>
  </si>
  <si>
    <t>RIEGO PARA REDUCIR EL POLVO</t>
  </si>
  <si>
    <t>LIMPIEZA GENERAL DE LA OBRA</t>
  </si>
  <si>
    <t>Vereda</t>
  </si>
  <si>
    <t>concreto</t>
  </si>
  <si>
    <t>reglero</t>
  </si>
  <si>
    <t>1 pago</t>
  </si>
  <si>
    <t>2 pago</t>
  </si>
  <si>
    <t>3 pago</t>
  </si>
  <si>
    <t>adelanto</t>
  </si>
  <si>
    <t>Transporte</t>
  </si>
  <si>
    <t>4 pago</t>
  </si>
  <si>
    <t>5 pago</t>
  </si>
  <si>
    <t>6 pago</t>
  </si>
  <si>
    <t>materiales techado</t>
  </si>
  <si>
    <t>parte luminaria y tubos</t>
  </si>
  <si>
    <t>lechada</t>
  </si>
  <si>
    <t>materiales tarrajeo</t>
  </si>
  <si>
    <t xml:space="preserve">ELIMINACIÓN DE MATERIAL EXCEDENTE C/VOLQUETE DE 15M3 D= 25KM </t>
  </si>
  <si>
    <t>CONFORMACION Y COMPACTACIÓN DE SUBRASANTE CON MOTONIVELADORA 125HP</t>
  </si>
  <si>
    <t>CURADO DE CONCRETO CON ADITIVO</t>
  </si>
  <si>
    <t>DEMOLICION DE CONCRETO DE VEREDA EXISTENTE C/EQUIPO, e=0.10m</t>
  </si>
  <si>
    <t>ELIMINACIÓN DE EXCEDENTES C/ VOLQUETE 15M3 D= 25KM</t>
  </si>
  <si>
    <t>CONFORMACIÓN Y COMPACTACIÓN DE SUBRASANTE PARA VEREDAS</t>
  </si>
  <si>
    <t>"MEJORAMIENTO DEL PARQUE VIRGEN DE LA CANDELARIA  DE CENTRO POBLADO VILLA EL SALVADOR DISTRITO DE VILLA EL SALVADOR DE LA PROVINCIA DE LIMA DEL DEPARTAMENTO DE LIMA"</t>
  </si>
  <si>
    <t>VEREDA B</t>
  </si>
  <si>
    <t>VEREDA C</t>
  </si>
  <si>
    <t xml:space="preserve">VEREDA </t>
  </si>
  <si>
    <t>VEREDA  A</t>
  </si>
  <si>
    <t>PISO PARA BANCAS 1</t>
  </si>
  <si>
    <t>PISO PARA BANCAS 2</t>
  </si>
  <si>
    <t>GYM</t>
  </si>
  <si>
    <t>PISO PARA GIMNASIO</t>
  </si>
  <si>
    <t>VEREDA D</t>
  </si>
  <si>
    <t>JUNTA ASFALTICA  E= 1" PARA VEREDA A</t>
  </si>
  <si>
    <t>JUNTA ASFALTICA  E= 1" PARA VEREDA B</t>
  </si>
  <si>
    <t>JUNTA ASFALTICA  E= 1" PARA VEREDA C</t>
  </si>
  <si>
    <t>JUNTA ASFALTICA  E= 1" PARA VEREDA D</t>
  </si>
  <si>
    <t>JUNTA ASFALTICA  E= 1" PISO PARA BANCAS 1</t>
  </si>
  <si>
    <t>JUNTA ASFALTICA  E= 1" PISO PARA BANCAS 2</t>
  </si>
  <si>
    <t>LOSA DEPORTIVA</t>
  </si>
  <si>
    <t>Se refiere al trazo y replanteo que se hace antes de iniciar cada actividad.</t>
  </si>
  <si>
    <t>Ver detalle en Plano de Demolicion (D-01)</t>
  </si>
  <si>
    <t>AREA DEMOLICION PROVIENE DEL ITEM 02.01.02</t>
  </si>
  <si>
    <t>NUEVO PAÑO</t>
  </si>
  <si>
    <t>Se refiere a la demolición de LOSA DEPORTIVA existente.</t>
  </si>
  <si>
    <t>Se refiere a la eliminación del material excedente proveniente de las excavaciones realizadas con un factor de esponjamiento de 1.25</t>
  </si>
  <si>
    <t>VIENE DEL ITEM 02.02.01.</t>
  </si>
  <si>
    <t>AREA</t>
  </si>
  <si>
    <t>TOTAL DE PAVIMENTO DE CONCRETO PREMEZCLADO f'c=350 kg/cm2  (h=10cm.)</t>
  </si>
  <si>
    <t>Se refiere a la colocación y compactación de la capa de la base granular, que será de espesor especificada en los planos.</t>
  </si>
  <si>
    <t>TOTAL DE ENCOFRADO Y DESENCOFRADO NORMAL PARA PAVIMENTO RIGIDO - PISTA</t>
  </si>
  <si>
    <t>05</t>
  </si>
  <si>
    <t>SARDINEL</t>
  </si>
  <si>
    <t>CONCRETO SIMPLE</t>
  </si>
  <si>
    <t>kg</t>
  </si>
  <si>
    <t>VEREDAS DE ADOQUIN</t>
  </si>
  <si>
    <t>CONFORMACIÓN Y COMPACTACIÓN DE SUBRASANTE PARA VEREDAS DE ADOQUIN</t>
  </si>
  <si>
    <t xml:space="preserve"> EXCAVACIÓN A MANO EN TERRENO NORMAL PARA VEREDAS DE ADOQUIN</t>
  </si>
  <si>
    <t>06</t>
  </si>
  <si>
    <t>SARDINELES</t>
  </si>
  <si>
    <t>SARDINEL PARA AREA DE CALISTENIA</t>
  </si>
  <si>
    <t>SARDINEL PARA VEREDA DE ADOQUIN</t>
  </si>
  <si>
    <t>SARDINEL PARA JARDIN CIRCULAR</t>
  </si>
  <si>
    <t>SARDINEL PARA JARDIN CUADRADO</t>
  </si>
  <si>
    <t>Se refiere al vaciado de sardineles con concreto premezclado de resistencia F'c=210kg/cm2.</t>
  </si>
  <si>
    <t xml:space="preserve">SARDINEL   </t>
  </si>
  <si>
    <t>Se refiere a la colocacion de  ACERO CORRUGADO Fy=4200kg/cm2 GRADO 60</t>
  </si>
  <si>
    <t>FACTOR</t>
  </si>
  <si>
    <t>Se refiere al pintado de las caras visibles del sardinel con pintura de tráfico amarilla</t>
  </si>
  <si>
    <t>SARDINEL AREA CALISTENIA</t>
  </si>
  <si>
    <t>SARDINEL  VEREDA ADOQUIN</t>
  </si>
  <si>
    <t>SARDINEL JARDIN CUADRADO</t>
  </si>
  <si>
    <t>SARDINEL JARDIN CIRCULAR</t>
  </si>
  <si>
    <t>RAMPA</t>
  </si>
  <si>
    <t>07</t>
  </si>
  <si>
    <t>GRASS SINTETICO</t>
  </si>
  <si>
    <t>AREA JUEGOS PARA NIÑOS</t>
  </si>
  <si>
    <t>08</t>
  </si>
  <si>
    <t>MOBILIARIO URBANO</t>
  </si>
  <si>
    <t xml:space="preserve">TRIBUNAS </t>
  </si>
  <si>
    <t>tribunas</t>
  </si>
  <si>
    <t>Se refiere al trazo y replanteo antes de empezas con las actividades de construccion de las tribunas</t>
  </si>
  <si>
    <t>TRIBUNAS</t>
  </si>
  <si>
    <t>Se refiere a la demolición de las tribunas existentes.</t>
  </si>
  <si>
    <t>Se refiere al  encofrado  y desencofrado  de las tribunas</t>
  </si>
  <si>
    <t>Corresponde a la instalacion de un Cerco Perimetrico que tiene como finalidad proteger las areas trabajadas en la obra.</t>
  </si>
  <si>
    <t>10</t>
  </si>
  <si>
    <t>Se refiere a la instalacion de Grass sintetico en el Area de Juegos para Niños</t>
  </si>
  <si>
    <r>
      <t>Se refiere al corte del terreno natural hasta alcanzar la cota de subrasante indicado en los planos.</t>
    </r>
    <r>
      <rPr>
        <sz val="10"/>
        <color rgb="FFFF0000"/>
        <rFont val="Arial Narrow"/>
        <family val="2"/>
      </rPr>
      <t xml:space="preserve"> </t>
    </r>
    <r>
      <rPr>
        <sz val="10"/>
        <color rgb="FF00B050"/>
        <rFont val="Arial Narrow"/>
        <family val="2"/>
      </rPr>
      <t>(Ver hoja: MOVIMIENTO DE TIERRAS)</t>
    </r>
  </si>
  <si>
    <t xml:space="preserve">Se refiere a la Eliminacion de la demolición de LOSA DEPORTIVA existente </t>
  </si>
  <si>
    <t>Se refiere al encofrado para cuando se realice el concreto premezclado de resistencia F'c=175kg/cm2.</t>
  </si>
  <si>
    <r>
      <t>Se refiere al vaciado del concreto premezclado de resistencia F'c=175kg/cm2 y con un espesor de</t>
    </r>
    <r>
      <rPr>
        <sz val="10"/>
        <color rgb="FF00B050"/>
        <rFont val="Arial Narrow"/>
        <family val="2"/>
      </rPr>
      <t xml:space="preserve"> </t>
    </r>
    <r>
      <rPr>
        <sz val="10"/>
        <rFont val="Arial Narrow"/>
        <family val="2"/>
      </rPr>
      <t>10 cm.</t>
    </r>
  </si>
  <si>
    <t>AREA SECCION=</t>
  </si>
  <si>
    <t>CARA LATERAL</t>
  </si>
  <si>
    <t>Se refiere al vaceado de concreto  CICLOPEO, con piedra de grande de e= 6" Tribunas</t>
  </si>
  <si>
    <t>ENCOFRADO Y DESENCOFRADO DE BANCAS</t>
  </si>
  <si>
    <t>Se refiere al  encofrado  y desencofrado  de cada modelo de Banca</t>
  </si>
  <si>
    <t>BANCA TIPO I</t>
  </si>
  <si>
    <t>BANCA TIPO II</t>
  </si>
  <si>
    <t>4 CARAS</t>
  </si>
  <si>
    <t>TODAS SUS CARAS</t>
  </si>
  <si>
    <t>Se refiere al vaciado de las Bancas con concreto premezclado de resistencia F'c=175kg/cm2.</t>
  </si>
  <si>
    <t>Corresponde en Servicio de Instalacion de Juegos Infantiles</t>
  </si>
  <si>
    <t>Corresponde en Servicio de Instalacion de tachos de Basura tipo Basculante</t>
  </si>
  <si>
    <t>ARBOL HUARANGUAY</t>
  </si>
  <si>
    <r>
      <t>RELLENO Y COMPACTADO DE BASE GRANULAR</t>
    </r>
    <r>
      <rPr>
        <sz val="9"/>
        <rFont val="Arial Narrow"/>
        <family val="2"/>
      </rPr>
      <t xml:space="preserve"> E=0.10 m</t>
    </r>
  </si>
  <si>
    <t>ENCOFRADO Y DESENCOFRADO PARA SARDINELES</t>
  </si>
  <si>
    <t>VEREDAS Y RAMPA</t>
  </si>
  <si>
    <t>ENCOFRADO Y DESENCOFRADO DE VEREDA, PISO GIMNASIO, PISO DE BANCAS, RAMPAS</t>
  </si>
  <si>
    <t>BASE GRANULAR PARA VEREDAS PISO GIMNASIO, PISO DE BANCAS, RAMPAS E=0.10M</t>
  </si>
  <si>
    <t xml:space="preserve"> EXCAVACIÓN A MANO EN TERRENO NORMAL PARA VEREDAS PISO GIMNASIO, PISO DE BANCAS, RAMPAS</t>
  </si>
  <si>
    <t>ENCOFRADO Y DESENCOFRADO TRIBUNAS</t>
  </si>
  <si>
    <t xml:space="preserve"> EXCAVACIÓN A MANO EN TERRENO NORMAL PARA TRIBUNA</t>
  </si>
  <si>
    <t>INSTALACIONES PROVISIONALES</t>
  </si>
  <si>
    <r>
      <t>DEMOLICION DE CONCRETO DE LOSA EXISTENTE C/MAQUINARIA,</t>
    </r>
    <r>
      <rPr>
        <sz val="9"/>
        <color rgb="FFFF0000"/>
        <rFont val="Arial Narrow"/>
        <family val="2"/>
      </rPr>
      <t xml:space="preserve"> </t>
    </r>
    <r>
      <rPr>
        <sz val="9"/>
        <rFont val="Arial Narrow"/>
        <family val="2"/>
      </rPr>
      <t>E=0.10</t>
    </r>
  </si>
  <si>
    <t xml:space="preserve">ELIMINACIÓN DE MATERIAL  EXCEDENTES C/VOLQUETE DE 15M3 D= 25KM </t>
  </si>
  <si>
    <t>EXCAVACION A MANO EN TERRENO NORMAL</t>
  </si>
  <si>
    <t>SUMINISTRO E INSTALACION DE JUEGOS INFANTILES</t>
  </si>
  <si>
    <t>SUMINISTRO E INSTALACION DE MINI GYM</t>
  </si>
  <si>
    <t>BANCAS DE CONCRETO</t>
  </si>
  <si>
    <t xml:space="preserve"> GRASS SINTÉTICO</t>
  </si>
  <si>
    <t xml:space="preserve"> CERCO PERIMÉTRICO DE MALLA EN LOSAS DEPORTIVAS</t>
  </si>
  <si>
    <t>ELIMINACIÓN DE EXCEDENTES C/VOLQUETES DE 15M3 D=25M</t>
  </si>
  <si>
    <t>ESTRUCTURA METÁLICA</t>
  </si>
  <si>
    <t>11</t>
  </si>
  <si>
    <t>ARBOLIZACIÓN Y AREAS VERDES</t>
  </si>
  <si>
    <t>GRASS NATURAL</t>
  </si>
  <si>
    <t>ARBORIZACION</t>
  </si>
  <si>
    <t>12</t>
  </si>
  <si>
    <t>SUMINISTRO E INSTALACION DE PISO PODOTACTIL</t>
  </si>
  <si>
    <t>corresponde a la instalacion de un Suministro temporal de energía eléctrica para ser utilizado durante la ejecución de la obra de construcción.</t>
  </si>
  <si>
    <t>Glb</t>
  </si>
  <si>
    <t>VEREDA A</t>
  </si>
  <si>
    <t>Se refiere a la demolición de  Vereda de Concreto  existente.</t>
  </si>
  <si>
    <t xml:space="preserve">Se refiere a la Eliminacion de la demolición de vereda de concreto existente </t>
  </si>
  <si>
    <t>VEREDA, PISO GINMASIO, PISO BANCAS, RAMPAS</t>
  </si>
  <si>
    <t>VEREDA DE ADOQUIN</t>
  </si>
  <si>
    <t>Se refiere al trazo y replanteo antes de empezas con las actividades de construccion de veredas de Adoquin</t>
  </si>
  <si>
    <t xml:space="preserve">Se refiere a la colocación de cama de apoyo de H= 0.05 m para piso de adoquin </t>
  </si>
  <si>
    <t>Se refiere a la Instalacion de bloques de Adoquin de 0.20 x0.10 x 0.06 m, color rojo  , asegurandose de alcanzar los niveles especificados en los planos</t>
  </si>
  <si>
    <t>Se refiere al corte del terreno natural hasta alcanzar la cota de subrasante indicado en los planos.</t>
  </si>
  <si>
    <t>Corresponde en Servicio de maquinas para Gymnasio</t>
  </si>
  <si>
    <t>se refiere al suministro de materiales, mano de obra y equipos para la confección del equipamiento Arcos de Futbolcon aro de Basquet</t>
  </si>
  <si>
    <t>SUMINISTRO E INSTALACION DE ARCOS DE FUTBOL CON ARO PARA BASQUET.</t>
  </si>
  <si>
    <t xml:space="preserve">Esta partida se refiere al suministro, materiales, mano de obra y equipos para la confección del equipamiento Tachos de Basura de fibra de vidrio, tipo basculante, con capacidad de 75L </t>
  </si>
  <si>
    <t>Corresponde en Servicio de Instalacion de piso podotactil.</t>
  </si>
  <si>
    <t xml:space="preserve">Se refiere al corte del terreno natural hasta alcanzar la cota de Cimentacion de los Dados indicado en los planos. </t>
  </si>
  <si>
    <t>EXCAVACIÓN MANUAL DE TERRENO NATURAL</t>
  </si>
  <si>
    <t xml:space="preserve">Se refiere a la instalacion de dados de concreto para anclaje de estructura metalica </t>
  </si>
  <si>
    <t>SUMINISTRO E INSTALACION DE GRASS EN CHAMPA (INC. GRASS Y HUMUS)</t>
  </si>
  <si>
    <t>Se refiere a la instalacion de Grass Natural en Champa  (INC. GRASS Y HUMUS)</t>
  </si>
  <si>
    <t>Comprende las excavaciones y preparación de tierra que se realizaran para la plantación de Planta Ornamental, en concordancia con los planos del proyecto.</t>
  </si>
  <si>
    <t>Comprende las excavaciones y preparación de tierra  que se realizaran para la plantación de Arbol, preparacioin del terreno, en concordancia con los planos del proyecto.</t>
  </si>
  <si>
    <t>LAUREL ENANO</t>
  </si>
  <si>
    <t>MITIGACIÓN AMBIENTAL</t>
  </si>
  <si>
    <t>Se refiere al riego durante la ejecucion de la obra,para reducir e polvo</t>
  </si>
  <si>
    <t>VIENE DEL ITEM 02.02.03</t>
  </si>
  <si>
    <t>AREA TOTAL DE CONCRETO VIENE DE ITEM 02.02.02</t>
  </si>
  <si>
    <t>VEREDA DE ADOQUIN AA</t>
  </si>
  <si>
    <t>VEREDA DE ADOQUIN AB</t>
  </si>
  <si>
    <t>VERDA DE ADOQUIN AC</t>
  </si>
  <si>
    <t>VERDA DE ADOQUIN AD</t>
  </si>
  <si>
    <t>VEREDA ADOQUIN  AA</t>
  </si>
  <si>
    <t>VEREDA ADOQUIN AB</t>
  </si>
  <si>
    <t>Viene del item 03.02.01</t>
  </si>
  <si>
    <t>VOL =</t>
  </si>
  <si>
    <t>AREA DEMOLICION PROVIENE DEL ITEM 04.01.02</t>
  </si>
  <si>
    <t>VIENE DEL ITEM 04.02.01.</t>
  </si>
  <si>
    <t>VIENE DEL ITEM 04.02.03.</t>
  </si>
  <si>
    <t>Viene del item 06.01.02.</t>
  </si>
  <si>
    <t>SUMINISTRO DE INSTALACION DE CERCO DE MADERA  H = 1.10</t>
  </si>
  <si>
    <t>13</t>
  </si>
  <si>
    <t>Corresponde en Servicio de Instalacion de cerco de madera pintados, alrededor del area de Juegos infantiles, con altura de 1.10 m</t>
  </si>
  <si>
    <t>PLATAFORMA</t>
  </si>
  <si>
    <t>BANCAS TIPO 2</t>
  </si>
  <si>
    <t>Ø 3/8"</t>
  </si>
  <si>
    <t>Ø 8 mm:</t>
  </si>
  <si>
    <t>COLUMNA</t>
  </si>
  <si>
    <t>estribos Ø 8 mm:</t>
  </si>
  <si>
    <t>ZAPATA</t>
  </si>
  <si>
    <t>Ø 1/2"</t>
  </si>
  <si>
    <t>KG</t>
  </si>
  <si>
    <t>SARDINEL EXISTENTE</t>
  </si>
  <si>
    <t xml:space="preserve">Se refiere a la Eliminacion de la demolición de SARDINEL existente </t>
  </si>
  <si>
    <t>SUMINISTRO E INSTALACION DE POSTES DE C.A.C DE 12M</t>
  </si>
  <si>
    <t>MANHOL DE CONCRETO DE 0.60x0.60x0.80m</t>
  </si>
  <si>
    <t>Se refiere a los trabajos de colocacion de manhol de concreto. .</t>
  </si>
  <si>
    <t xml:space="preserve">PARQUE </t>
  </si>
  <si>
    <t>TRANSPORTE DE POSTES DE CONCRETO DE ALMACEN A PUNTO DE IZAJE</t>
  </si>
  <si>
    <t>Se refiere a los trabajos de transporte de postes.</t>
  </si>
  <si>
    <t>EXCAVACION DE ZANJAS MANUAL PARA CIMIENTOS EN TERRENO NORMAL HASRA 1.70M</t>
  </si>
  <si>
    <t>Se refiere a los trabajos de excavacion para cimientos</t>
  </si>
  <si>
    <t>Se refiere a los trabajos de colocacion de postes de C° A°</t>
  </si>
  <si>
    <t>SUMINISTRO Y MONTAJE DE CABLES DE ENERGIA</t>
  </si>
  <si>
    <t>PARQUE -  C1</t>
  </si>
  <si>
    <t>Se refiere a los trabajos de colocacion de CABLE ELECTRICO NYY -  10mm2</t>
  </si>
  <si>
    <t>SUMINISTRO E INSTALACION DE REFLECTORES Y ACCESORIOS</t>
  </si>
  <si>
    <t>Se refiere a los trabajos de colocacion de LAMPARA LED 18000 LUM 4*180W</t>
  </si>
  <si>
    <t>VARIOS</t>
  </si>
  <si>
    <t>Se refiere a los trabajos de intalacion a puesta en tierra</t>
  </si>
  <si>
    <t>Se refiere a los trabajos de empalme a la red existente</t>
  </si>
  <si>
    <t>Redes de Electricidad</t>
  </si>
  <si>
    <t>MARZO 2025</t>
  </si>
  <si>
    <t>PUSE IGUAL AL PINTADO</t>
  </si>
  <si>
    <t>CIMETACION DE BANCA TIPO II</t>
  </si>
  <si>
    <t>AREA SECCION =</t>
  </si>
  <si>
    <t>ARBOL MOLLE COSTERO</t>
  </si>
  <si>
    <t>LANTANA</t>
  </si>
  <si>
    <t>14</t>
  </si>
  <si>
    <t>CIRCUITO DE CALISTENIA</t>
  </si>
  <si>
    <t>CAMA DE ARENA FINA e= 0.20</t>
  </si>
  <si>
    <t>CERCO PROVISIONAL DE OBRA H= 2.50 CON POSTES DE MADERA Y MALLA RASCHEL</t>
  </si>
  <si>
    <t>INSTALACION PROVISIONAL DE ENERGÍA ELÉCTRICA</t>
  </si>
  <si>
    <t>EQUIPOS DE PROTECCION COLECTIVA</t>
  </si>
  <si>
    <t>RECURSOS PARA RESPUESTAS ANTE EMERGENCIAS EN SEGURIDAD Y SALUD DURANTE EL TRABAJO</t>
  </si>
  <si>
    <r>
      <t>ELIMINACIÓN DE MATERIAL EXCEDENTE C/VOLQUETE 15M3</t>
    </r>
    <r>
      <rPr>
        <sz val="9"/>
        <color rgb="FF00B050"/>
        <rFont val="Arial Narrow"/>
        <family val="2"/>
      </rPr>
      <t xml:space="preserve"> </t>
    </r>
    <r>
      <rPr>
        <sz val="9"/>
        <rFont val="Arial Narrow"/>
        <family val="2"/>
      </rPr>
      <t>D= 25KM</t>
    </r>
  </si>
  <si>
    <r>
      <t>ELIMINACIÓN DEMATERIAL  EXCEDENTES C/VOLQUETE 15M3</t>
    </r>
    <r>
      <rPr>
        <sz val="9"/>
        <color rgb="FFEE0000"/>
        <rFont val="Arial Narrow"/>
        <family val="2"/>
      </rPr>
      <t xml:space="preserve"> </t>
    </r>
    <r>
      <rPr>
        <sz val="9"/>
        <rFont val="Arial Narrow"/>
        <family val="2"/>
      </rPr>
      <t>D= 25KM</t>
    </r>
  </si>
  <si>
    <t>CAMA DE ARENA DE e=0.05 M PARA ASENTADO DE ADOQUINES</t>
  </si>
  <si>
    <t xml:space="preserve">COLOCACION DE ADOQUINES DE CONCRETO EN VEREDAS </t>
  </si>
  <si>
    <t>SELLADO DE JUNTAS CON ARENA-CALZADA (ADOQUINADO)</t>
  </si>
  <si>
    <t>ELIMINACIÓN DE EXCEDENTES C/ VOLQUETE 15M3 D=25KM</t>
  </si>
  <si>
    <t xml:space="preserve"> EXCAVACIÓN A MANO EN TERRENO NORMAL</t>
  </si>
  <si>
    <r>
      <t>ELIMINACIÓN DE MATERIAL  EXCEDENTES C/VOLQUETE 15M</t>
    </r>
    <r>
      <rPr>
        <sz val="9"/>
        <rFont val="Arial Narrow"/>
        <family val="2"/>
      </rPr>
      <t>3 D= 25KM</t>
    </r>
  </si>
  <si>
    <t>CONCRETO ARMADO</t>
  </si>
  <si>
    <t>DEMOLICION DE ESTRUCTURA DE CONCRETO C/MAQUINARIA,</t>
  </si>
  <si>
    <t xml:space="preserve">ELIMINACIÓN DE MATERIAL  EXCEDENTE C/VOLQUETE DE 15M3 D= 25KM </t>
  </si>
  <si>
    <r>
      <t>ELIMINACIÓN DE MATERIAL EXCEDENTE C/VOLQUETE 15M3</t>
    </r>
    <r>
      <rPr>
        <sz val="9"/>
        <color rgb="FFEE0000"/>
        <rFont val="Arial Narrow"/>
        <family val="2"/>
      </rPr>
      <t xml:space="preserve"> </t>
    </r>
    <r>
      <rPr>
        <sz val="9"/>
        <rFont val="Arial Narrow"/>
        <family val="2"/>
      </rPr>
      <t>D= 25KM</t>
    </r>
  </si>
  <si>
    <t>CONFORMACIÓN Y COMPACTACIÓN DE SUBRASANTE</t>
  </si>
  <si>
    <t>CONCRETO CICLOPEO PARA CIMENTACIONES  1:10 +30% P.G</t>
  </si>
  <si>
    <t xml:space="preserve">ACERO DE REFUERZO   Fy =4200kg/cm2 </t>
  </si>
  <si>
    <t>PISO  ARTIFICIAL DE GRASS SINTETICO</t>
  </si>
  <si>
    <t>SUMINISTRO E INSTALACIÓN DE GRASS ARTIFICIAL  SINTÉTICO</t>
  </si>
  <si>
    <t>9</t>
  </si>
  <si>
    <t xml:space="preserve">SUMINISTRO E INSTALACION DE TACHOS DE BASURA </t>
  </si>
  <si>
    <t xml:space="preserve">SUMINISTRO E INSTALACION DE PUNTO ECOLÓGICO </t>
  </si>
  <si>
    <t xml:space="preserve">   POSTE DE C° A° H=12M</t>
  </si>
  <si>
    <t xml:space="preserve">   CABLE ELECTRICO NYY - 10mm2</t>
  </si>
  <si>
    <t xml:space="preserve">   EMPALME A LA RED EXISTENTE DE ELECTRICIDAD</t>
  </si>
  <si>
    <t xml:space="preserve">   PUESTA A TIERRA</t>
  </si>
  <si>
    <t>ELIMINACION DE MATERIAL EXCEDENTE C/VOLQUETE DE 15M3 D=25KM</t>
  </si>
  <si>
    <t>EXCAVACION DE HOYO PARA PLANTACION DE ÁRBOLES</t>
  </si>
  <si>
    <t>EXCAVACION DE HOYO PARA SIEMBRA  DE PLANTAS ORNAMENTALES</t>
  </si>
  <si>
    <t>SEMBRA DE ARBOL  HUARANGUAY Y TAPADO DE HOYO DE 60X25X25 CM  (INCLUYE SUMINISTRO)</t>
  </si>
  <si>
    <t>SIEMBRA  DE PLANTA ORNAMENTAL LAUREL ENANO  Y TAPADO DE HOYO DE 20X20X20  CM  (INCLUYE SUMINISTRO)</t>
  </si>
  <si>
    <t>Se refiere a la elaboracion, implementacion y administracion del plan de seguridad y salud en el trabajo</t>
  </si>
  <si>
    <t>Comprende todos los equipos de protección individual (EPI) que deben ser 
utilizados por el personal de la obra, para estar protegidos de los peligros asociados 
a los trabajos que se realicen</t>
  </si>
  <si>
    <t xml:space="preserve">Comprende los equipos de protección colectiva que deben ser instalados para 
proteger a los trabajadores y público en general de los peligros existentes en las 
diferentes áreas de trabajo. </t>
  </si>
  <si>
    <t xml:space="preserve">Este trabajo consiste en sellar o tapar las juntas que se dejaron en el adoquinado
con arena de acuerdo a la necesidad o tipología. </t>
  </si>
  <si>
    <t xml:space="preserve">AREA DEMOLICION </t>
  </si>
  <si>
    <t>VIENE DEL ITEM 05.02.01.</t>
  </si>
  <si>
    <t>PINTURA EN SARDINELES</t>
  </si>
  <si>
    <t>Viene del item 07.01.01.</t>
  </si>
  <si>
    <t xml:space="preserve">ZONA DE JUEGOS PARA NIÑOS </t>
  </si>
  <si>
    <t>Viene del item 08.02.01.</t>
  </si>
  <si>
    <t>ZONA  DE CALISTENIA</t>
  </si>
  <si>
    <t>ZONA CALISTENIA</t>
  </si>
  <si>
    <t>ZONA DE CALISTENIA</t>
  </si>
  <si>
    <t>EXCAVACION PARA DADOS DE CONCRETO DE 0.30 X 0.30 X 0.60</t>
  </si>
  <si>
    <t xml:space="preserve">CONCRETO  PRE MEZCLADO F’C = 175  Kg/cm2.  </t>
  </si>
  <si>
    <t>CERCO PERIMETRICO</t>
  </si>
  <si>
    <t>Se refiere al vaciado del concreto premezclado de resistencia F'c=175kg/cm2 para dados de concreto de 0.30 x0.30x0.60</t>
  </si>
  <si>
    <t>DADOS DE CONCRETO 0.30 X 0.30X 0.60</t>
  </si>
  <si>
    <t>ESTRUCTURA METALICA</t>
  </si>
  <si>
    <t>AREAS VERDES</t>
  </si>
  <si>
    <t>SIEMBRA DE PLANTA ORNAMENTAL LANTANA Y TAPADO DE HOYO DE 20X20X20  CM  (INCLUYE SUMINISTRO)</t>
  </si>
  <si>
    <t>NUEVO PAÑO    e=0.10</t>
  </si>
  <si>
    <t>TRIBUNA 1</t>
  </si>
  <si>
    <t>TRIBUNA 2</t>
  </si>
  <si>
    <t>TRIBUNA 3</t>
  </si>
  <si>
    <t>TRIBUNA 4</t>
  </si>
  <si>
    <t xml:space="preserve">      TRIBUNA EXISTNTE 1</t>
  </si>
  <si>
    <t xml:space="preserve">       CIMETACION DE TRIBUNA 1</t>
  </si>
  <si>
    <t xml:space="preserve">      TRIBUNA EXISTNTE 2</t>
  </si>
  <si>
    <t xml:space="preserve">       CIMETACION DE TRIBUNA 2</t>
  </si>
  <si>
    <t>CIMENTACION TRIBUNA 1</t>
  </si>
  <si>
    <t xml:space="preserve">       CIMENTACION TRIBUNA 2</t>
  </si>
  <si>
    <t xml:space="preserve">       CIMENTACION TRIBUNA 3</t>
  </si>
  <si>
    <t xml:space="preserve">       CIMENTACION TRIBUNA 4</t>
  </si>
  <si>
    <r>
      <t>Se refiere a la Eliminacion de la demolición de las tribunas existente considerando un</t>
    </r>
    <r>
      <rPr>
        <sz val="10"/>
        <color rgb="FF00B050"/>
        <rFont val="Arial Narrow"/>
        <family val="2"/>
      </rPr>
      <t xml:space="preserve"> </t>
    </r>
    <r>
      <rPr>
        <sz val="10"/>
        <rFont val="Arial Narrow"/>
        <family val="2"/>
      </rPr>
      <t>factor de esponjamiento de 1.25</t>
    </r>
  </si>
  <si>
    <t>TRIBUNAS 1</t>
  </si>
  <si>
    <t xml:space="preserve">AREA SECCION= </t>
  </si>
  <si>
    <t>TRIBUNA 1 + CIMENTACION</t>
  </si>
  <si>
    <t>TRIBUNA 2 + CIMENTACION</t>
  </si>
  <si>
    <t>TRIBUNA 3 + CIMENTACION</t>
  </si>
  <si>
    <t>CONCRETO PARA BANCAS</t>
  </si>
  <si>
    <t xml:space="preserve">BANCA TIPO II </t>
  </si>
  <si>
    <t>GRASS ARTIFICIAL</t>
  </si>
  <si>
    <t>EXCAVACION AREA JUEGOS PARA NIÑOS</t>
  </si>
  <si>
    <t>proporcion 1:1</t>
  </si>
  <si>
    <t>MEZCLA DE GRAVILLA + ARENA DE CONSTRUCCION  e=0.07 m</t>
  </si>
  <si>
    <t>VIENE DEL ITEM 11.02.01</t>
  </si>
  <si>
    <t>VIENE DEL ITEM 12.02.01.</t>
  </si>
  <si>
    <t>M</t>
  </si>
  <si>
    <t>Se refiere  al insumo e instalacion  de malla de protección</t>
  </si>
  <si>
    <t>TRAMO 1-1</t>
  </si>
  <si>
    <t>TRAMO 2-2</t>
  </si>
  <si>
    <t>Viene del item 13.01.01.</t>
  </si>
  <si>
    <t>HUARANGUAY</t>
  </si>
  <si>
    <t>SEMBRA DE ARBOL MOLLE  Y TAPADO DE HOYO DE 60X25X25 CM  (INCLUYE SUMINISTRO)</t>
  </si>
  <si>
    <t xml:space="preserve">Se refiere a la demarcacion de la totalidad de la losa deportiva </t>
  </si>
  <si>
    <t>KG/ML</t>
  </si>
  <si>
    <t xml:space="preserve">ACERO TRANSVERSAL ∅3/8" </t>
  </si>
  <si>
    <t>ACERO LONGITUDINAL ∅1/4"</t>
  </si>
  <si>
    <t xml:space="preserve">ACERO TRANSVERSAL  ∅3/8" </t>
  </si>
  <si>
    <t>KG/ML=</t>
  </si>
  <si>
    <t xml:space="preserve">TOTAL ACERO </t>
  </si>
  <si>
    <t>Se refiere al pintado de contrapasos de las tribunas</t>
  </si>
  <si>
    <t>CURADO DE BANCAS CON ADITIVO</t>
  </si>
  <si>
    <t>EQUIPOS DE PROTECCION PERSONAL</t>
  </si>
  <si>
    <t>ENCOFRADO Y DESENCOFRADO NORMAL PARA LOSA DEPORTIVA</t>
  </si>
  <si>
    <t>JARDINERA CUADRADA</t>
  </si>
  <si>
    <t>GRASS AREA VERDE</t>
  </si>
  <si>
    <t>PINTURA DE CERCO METALICO</t>
  </si>
  <si>
    <t>Se refiere  a la pintura del Cerco Metalico</t>
  </si>
  <si>
    <t>CERCO</t>
  </si>
  <si>
    <t>SERVICIO E INSTALACIÓN DE  ESTRUCTURA METALICA, CON MALLA OLIMPICA GALVANIZADA</t>
  </si>
  <si>
    <t>MALLA OLIMPICA  DE PROTECCION GALVANIZADA</t>
  </si>
  <si>
    <t>h= 5.6 m</t>
  </si>
  <si>
    <t>Se refiere a la intalacion de estructura metalica alrededor de losa deportiva</t>
  </si>
  <si>
    <t xml:space="preserve">Se refiere intalacion de perfiles "T" de 20mm x 20mm x 3 mm,  en estructura metalica de cerco para losa deportiva </t>
  </si>
  <si>
    <t>PERFIL "T"</t>
  </si>
  <si>
    <t>PERFIL "T" - TRAMO 1-1</t>
  </si>
  <si>
    <t>PERFIL "T" - TRAMO 2-2</t>
  </si>
  <si>
    <t>LINEA DE DEMARCACION BLANCA - FULBITO</t>
  </si>
  <si>
    <t>LINEA DE DEMARCACION AMARILLO - VOLEY</t>
  </si>
  <si>
    <t>LINEA DE DEMARCACION ANARANJADO - BASQUET</t>
  </si>
  <si>
    <t>TARRAJEO FROTACHADO CON MEZCLA 1:5</t>
  </si>
  <si>
    <t>Se refiere al  tarrajeo frotachado  de cada modelo de Banca</t>
  </si>
  <si>
    <r>
      <t>Se refiere al corte del terreno natural hasta alcanzar la cota de subrasante indicado en los planos.</t>
    </r>
    <r>
      <rPr>
        <sz val="10"/>
        <color rgb="FFFF0000"/>
        <rFont val="Arial Narrow"/>
        <family val="2"/>
      </rPr>
      <t xml:space="preserve"> </t>
    </r>
  </si>
  <si>
    <t>BASE</t>
  </si>
  <si>
    <t xml:space="preserve">CONCRETO  f'c= 175 kg/cm2, PARA VEREDAS, PISO GIMNASIO, PISO BANCAS, RAMPAS, INC. ACABADOS SEGÚN DETALLE e = 0.10 </t>
  </si>
  <si>
    <t>JUNTA</t>
  </si>
  <si>
    <t>TRABAJOS  PRELIMINARES</t>
  </si>
  <si>
    <t>CAMA DE ARENA</t>
  </si>
  <si>
    <t>PISOS Y PAVIMENTOS</t>
  </si>
  <si>
    <t>JUNTAS</t>
  </si>
  <si>
    <t>LOSA DEPORTIVA MULTIUSOS</t>
  </si>
  <si>
    <t>PINTURA</t>
  </si>
  <si>
    <t>PINTURA DE TRAFICO EN DEMARCACION DE LOSA DEPORTIVA MULTIUSOS</t>
  </si>
  <si>
    <t>CONCRETO  f'c= 175 kg/cm2  PARA SARDINELES PERALTADO H=0.30M, B=0.15 , INC. ACABADOS SEGÚN DETALLE</t>
  </si>
  <si>
    <t>ARQUITECTURA Y ACABADOS</t>
  </si>
  <si>
    <t>PINTADO DE CONTRAPASO H=0.40M</t>
  </si>
  <si>
    <t>CONCRETO f'c=175 kg/cm2 PARA LOSA DEPORTIVA  e=0.10</t>
  </si>
  <si>
    <t>DEMOLICION DE SARDINEL PERALTADO EXISTENTE C/ EQUIPO e=0.30 m</t>
  </si>
  <si>
    <t>ACERO DE REFUERZO fy=4,200 kg/cm2</t>
  </si>
  <si>
    <t>CONCRETO CICLOPEO</t>
  </si>
  <si>
    <t>BANCAS</t>
  </si>
  <si>
    <t xml:space="preserve"> TOTAL </t>
  </si>
  <si>
    <t>CIMENTACION BANCAS</t>
  </si>
  <si>
    <t>CONCRETO PARA BANCAS F’C = 175  Kg/cm2. PARA BANCAS</t>
  </si>
  <si>
    <t>TARRAJEO</t>
  </si>
  <si>
    <t>BASE GRANULAR PARA PISO ARTIFICIAL E=0.07M</t>
  </si>
  <si>
    <t>INSTALACIONES  ELECTRICAS</t>
  </si>
  <si>
    <t xml:space="preserve">    LAMPARA LED 18000 LUM 3*180W</t>
  </si>
  <si>
    <t>SUMINISTRO</t>
  </si>
  <si>
    <t>SUMINISTRO E INSTALACION DE CIRCUITO DE CALISTENIA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</si>
</sst>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S/.&quot;#,##0.00_);\(&quot;S/.&quot;#,##0.00\)"/>
    <numFmt numFmtId="165" formatCode="00."/>
    <numFmt numFmtId="166" formatCode="00.00."/>
    <numFmt numFmtId="167" formatCode="00.00.00."/>
    <numFmt numFmtId="168" formatCode="0.000"/>
    <numFmt numFmtId="169" formatCode="0.0000"/>
    <numFmt numFmtId="170" formatCode="00.00"/>
    <numFmt numFmtId="171" formatCode="00.00.00"/>
  </numFmts>
  <fonts count="6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20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Arial Narrow"/>
      <family val="2"/>
    </font>
    <font>
      <b/>
      <sz val="9"/>
      <name val="Arial Narrow"/>
      <family val="2"/>
    </font>
    <font>
      <sz val="9"/>
      <color theme="1"/>
      <name val="Arial Narrow"/>
      <family val="2"/>
    </font>
    <font>
      <b/>
      <shadow/>
      <sz val="9"/>
      <name val="Arial Narrow"/>
      <family val="2"/>
    </font>
    <font>
      <sz val="9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sz val="9"/>
      <color indexed="57"/>
      <name val="Arial Narrow"/>
      <family val="2"/>
    </font>
    <font>
      <sz val="9"/>
      <color indexed="10"/>
      <name val="Arial Narrow"/>
      <family val="2"/>
    </font>
    <font>
      <b/>
      <sz val="9"/>
      <color theme="8" tint="0.39997558519241921"/>
      <name val="Arial Narrow"/>
      <family val="2"/>
    </font>
    <font>
      <sz val="9"/>
      <color indexed="72"/>
      <name val="Arial Narrow"/>
      <family val="2"/>
    </font>
    <font>
      <sz val="9.5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Symbol"/>
      <family val="1"/>
      <charset val="2"/>
    </font>
    <font>
      <i/>
      <sz val="8"/>
      <color theme="1"/>
      <name val="Times New Roman,Italic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i/>
      <sz val="8"/>
      <color theme="1"/>
      <name val="Times New Roman"/>
      <family val="1"/>
    </font>
    <font>
      <sz val="11"/>
      <color rgb="FF000000"/>
      <name val="Symbol"/>
      <family val="1"/>
      <charset val="2"/>
    </font>
    <font>
      <b/>
      <u/>
      <sz val="14"/>
      <color rgb="FF00206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rgb="FF002060"/>
      <name val="Arial Narrow"/>
      <family val="2"/>
    </font>
    <font>
      <b/>
      <sz val="10"/>
      <name val="Arial Narrow"/>
      <family val="2"/>
    </font>
    <font>
      <b/>
      <sz val="10"/>
      <color rgb="FFFF0000"/>
      <name val="Arial Narrow"/>
      <family val="2"/>
    </font>
    <font>
      <b/>
      <sz val="10"/>
      <color indexed="10"/>
      <name val="Arial Narrow"/>
      <family val="2"/>
    </font>
    <font>
      <sz val="10"/>
      <color indexed="57"/>
      <name val="Arial Narrow"/>
      <family val="2"/>
    </font>
    <font>
      <sz val="10"/>
      <color rgb="FFFF0000"/>
      <name val="Arial Narrow"/>
      <family val="2"/>
    </font>
    <font>
      <b/>
      <u/>
      <sz val="10"/>
      <color theme="1"/>
      <name val="Arial Narrow"/>
      <family val="2"/>
    </font>
    <font>
      <sz val="10"/>
      <color indexed="72"/>
      <name val="Arial Narrow"/>
      <family val="2"/>
    </font>
    <font>
      <b/>
      <sz val="9"/>
      <color rgb="FF0070C0"/>
      <name val="Arial Narrow"/>
      <family val="2"/>
    </font>
    <font>
      <b/>
      <sz val="9"/>
      <color rgb="FFC00000"/>
      <name val="Arial Narrow"/>
      <family val="2"/>
    </font>
    <font>
      <b/>
      <sz val="12"/>
      <color rgb="FF002060"/>
      <name val="Arial Narrow"/>
      <family val="2"/>
    </font>
    <font>
      <u/>
      <sz val="10"/>
      <name val="Arial Narrow"/>
      <family val="2"/>
    </font>
    <font>
      <sz val="9"/>
      <color rgb="FFFF0000"/>
      <name val="Arial Narrow"/>
      <family val="2"/>
    </font>
    <font>
      <u/>
      <sz val="10"/>
      <color theme="1"/>
      <name val="Arial Narrow"/>
      <family val="2"/>
    </font>
    <font>
      <sz val="9"/>
      <color rgb="FFEE0000"/>
      <name val="Arial Narrow"/>
      <family val="2"/>
    </font>
    <font>
      <sz val="9"/>
      <color rgb="FF00B050"/>
      <name val="Arial Narrow"/>
      <family val="2"/>
    </font>
    <font>
      <sz val="10"/>
      <color rgb="FF00B050"/>
      <name val="Arial Narrow"/>
      <family val="2"/>
    </font>
    <font>
      <sz val="8"/>
      <name val="Arial Narrow"/>
      <family val="2"/>
    </font>
    <font>
      <sz val="10"/>
      <color rgb="FFC00000"/>
      <name val="Arial Narrow"/>
      <family val="2"/>
    </font>
    <font>
      <b/>
      <sz val="9"/>
      <color theme="1"/>
      <name val="Arial Narrow"/>
      <family val="2"/>
    </font>
    <font>
      <i/>
      <sz val="1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5AAE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3" tint="-0.499984740745262"/>
      </left>
      <right/>
      <top style="medium">
        <color theme="3" tint="-0.499984740745262"/>
      </top>
      <bottom/>
      <diagonal/>
    </border>
    <border>
      <left/>
      <right/>
      <top style="medium">
        <color theme="3" tint="-0.499984740745262"/>
      </top>
      <bottom/>
      <diagonal/>
    </border>
    <border>
      <left/>
      <right style="medium">
        <color theme="3" tint="-0.499984740745262"/>
      </right>
      <top style="medium">
        <color theme="3" tint="-0.499984740745262"/>
      </top>
      <bottom/>
      <diagonal/>
    </border>
    <border>
      <left style="medium">
        <color theme="3" tint="-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3" tint="-0.499984740745262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3" tint="-0.499984740745262"/>
      </right>
      <top style="thin">
        <color theme="0"/>
      </top>
      <bottom/>
      <diagonal/>
    </border>
    <border>
      <left style="thin">
        <color theme="0"/>
      </left>
      <right style="medium">
        <color theme="3" tint="-0.499984740745262"/>
      </right>
      <top/>
      <bottom/>
      <diagonal/>
    </border>
    <border>
      <left style="medium">
        <color theme="3" tint="-0.499984740745262"/>
      </left>
      <right style="thin">
        <color theme="0"/>
      </right>
      <top style="thin">
        <color theme="0"/>
      </top>
      <bottom style="medium">
        <color theme="3" tint="-0.499984740745262"/>
      </bottom>
      <diagonal/>
    </border>
    <border>
      <left style="thin">
        <color theme="0"/>
      </left>
      <right/>
      <top style="thin">
        <color theme="0"/>
      </top>
      <bottom style="medium">
        <color theme="3" tint="-0.499984740745262"/>
      </bottom>
      <diagonal/>
    </border>
    <border>
      <left/>
      <right/>
      <top style="thin">
        <color theme="0"/>
      </top>
      <bottom style="medium">
        <color theme="3" tint="-0.499984740745262"/>
      </bottom>
      <diagonal/>
    </border>
    <border>
      <left style="thin">
        <color theme="0"/>
      </left>
      <right style="medium">
        <color theme="3" tint="-0.499984740745262"/>
      </right>
      <top/>
      <bottom style="medium">
        <color theme="3" tint="-0.49998474074526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rgb="FF008000"/>
      </top>
      <bottom/>
      <diagonal/>
    </border>
    <border>
      <left/>
      <right/>
      <top/>
      <bottom style="medium">
        <color rgb="FF008000"/>
      </bottom>
      <diagonal/>
    </border>
    <border>
      <left/>
      <right/>
      <top/>
      <bottom style="thick">
        <color rgb="FF008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348">
    <xf numFmtId="0" fontId="0" fillId="0" borderId="0" xfId="0"/>
    <xf numFmtId="0" fontId="0" fillId="2" borderId="1" xfId="0" applyFill="1" applyBorder="1" applyAlignment="1">
      <alignment vertical="center"/>
    </xf>
    <xf numFmtId="165" fontId="3" fillId="2" borderId="10" xfId="0" applyNumberFormat="1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166" fontId="4" fillId="2" borderId="10" xfId="0" applyNumberFormat="1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167" fontId="5" fillId="2" borderId="10" xfId="0" applyNumberFormat="1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0" fillId="0" borderId="0" xfId="0" applyNumberFormat="1"/>
    <xf numFmtId="4" fontId="10" fillId="0" borderId="0" xfId="0" applyNumberFormat="1" applyFont="1"/>
    <xf numFmtId="4" fontId="11" fillId="0" borderId="0" xfId="0" applyNumberFormat="1" applyFont="1"/>
    <xf numFmtId="9" fontId="0" fillId="0" borderId="0" xfId="0" applyNumberFormat="1"/>
    <xf numFmtId="0" fontId="10" fillId="0" borderId="0" xfId="0" applyFont="1"/>
    <xf numFmtId="164" fontId="0" fillId="0" borderId="0" xfId="0" applyNumberFormat="1"/>
    <xf numFmtId="0" fontId="2" fillId="2" borderId="11" xfId="0" applyFont="1" applyFill="1" applyBorder="1" applyAlignment="1">
      <alignment vertical="center"/>
    </xf>
    <xf numFmtId="0" fontId="7" fillId="3" borderId="10" xfId="0" applyFont="1" applyFill="1" applyBorder="1" applyAlignment="1">
      <alignment horizontal="center" vertical="center"/>
    </xf>
    <xf numFmtId="49" fontId="7" fillId="3" borderId="10" xfId="0" applyNumberFormat="1" applyFont="1" applyFill="1" applyBorder="1" applyAlignment="1">
      <alignment horizontal="center" vertical="center"/>
    </xf>
    <xf numFmtId="0" fontId="0" fillId="2" borderId="16" xfId="0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2" fillId="2" borderId="16" xfId="0" applyFont="1" applyFill="1" applyBorder="1" applyAlignment="1">
      <alignment vertical="top"/>
    </xf>
    <xf numFmtId="0" fontId="2" fillId="2" borderId="20" xfId="0" applyFont="1" applyFill="1" applyBorder="1" applyAlignment="1">
      <alignment vertical="top"/>
    </xf>
    <xf numFmtId="0" fontId="0" fillId="0" borderId="0" xfId="0" applyAlignment="1">
      <alignment vertical="top"/>
    </xf>
    <xf numFmtId="4" fontId="5" fillId="2" borderId="10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2" fontId="1" fillId="0" borderId="37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2" fontId="1" fillId="0" borderId="39" xfId="0" applyNumberFormat="1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2" fontId="1" fillId="0" borderId="42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2" fontId="2" fillId="0" borderId="35" xfId="0" applyNumberFormat="1" applyFont="1" applyBorder="1" applyAlignment="1">
      <alignment horizontal="center"/>
    </xf>
    <xf numFmtId="0" fontId="12" fillId="0" borderId="33" xfId="0" applyFont="1" applyBorder="1" applyAlignment="1">
      <alignment horizontal="center" vertical="center"/>
    </xf>
    <xf numFmtId="0" fontId="13" fillId="0" borderId="46" xfId="0" applyFont="1" applyBorder="1" applyAlignment="1">
      <alignment vertical="center"/>
    </xf>
    <xf numFmtId="0" fontId="13" fillId="0" borderId="47" xfId="0" applyFont="1" applyBorder="1" applyAlignment="1">
      <alignment vertical="center"/>
    </xf>
    <xf numFmtId="2" fontId="0" fillId="0" borderId="0" xfId="0" applyNumberFormat="1"/>
    <xf numFmtId="0" fontId="13" fillId="0" borderId="48" xfId="0" applyFont="1" applyBorder="1" applyAlignment="1">
      <alignment vertical="center"/>
    </xf>
    <xf numFmtId="2" fontId="13" fillId="0" borderId="49" xfId="0" applyNumberFormat="1" applyFont="1" applyBorder="1" applyAlignment="1">
      <alignment horizontal="right" vertical="center"/>
    </xf>
    <xf numFmtId="2" fontId="13" fillId="0" borderId="51" xfId="0" applyNumberFormat="1" applyFont="1" applyBorder="1" applyAlignment="1">
      <alignment horizontal="right" vertical="center"/>
    </xf>
    <xf numFmtId="2" fontId="13" fillId="0" borderId="52" xfId="0" applyNumberFormat="1" applyFont="1" applyBorder="1" applyAlignment="1">
      <alignment horizontal="right" vertical="center"/>
    </xf>
    <xf numFmtId="2" fontId="13" fillId="0" borderId="50" xfId="0" applyNumberFormat="1" applyFont="1" applyBorder="1" applyAlignment="1">
      <alignment horizontal="right" vertical="center"/>
    </xf>
    <xf numFmtId="2" fontId="13" fillId="0" borderId="53" xfId="0" applyNumberFormat="1" applyFont="1" applyBorder="1" applyAlignment="1">
      <alignment horizontal="right" vertical="center"/>
    </xf>
    <xf numFmtId="0" fontId="13" fillId="0" borderId="54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/>
    </xf>
    <xf numFmtId="0" fontId="13" fillId="0" borderId="57" xfId="0" applyFont="1" applyBorder="1" applyAlignment="1">
      <alignment vertical="center"/>
    </xf>
    <xf numFmtId="0" fontId="13" fillId="0" borderId="58" xfId="0" applyFont="1" applyBorder="1" applyAlignment="1">
      <alignment vertical="center"/>
    </xf>
    <xf numFmtId="2" fontId="0" fillId="4" borderId="0" xfId="0" applyNumberFormat="1" applyFill="1"/>
    <xf numFmtId="2" fontId="0" fillId="5" borderId="0" xfId="0" applyNumberFormat="1" applyFill="1"/>
    <xf numFmtId="0" fontId="14" fillId="0" borderId="46" xfId="0" applyFont="1" applyBorder="1" applyAlignment="1">
      <alignment vertical="center"/>
    </xf>
    <xf numFmtId="0" fontId="14" fillId="0" borderId="47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0" fontId="0" fillId="0" borderId="45" xfId="0" applyBorder="1"/>
    <xf numFmtId="0" fontId="0" fillId="0" borderId="46" xfId="0" applyBorder="1"/>
    <xf numFmtId="0" fontId="14" fillId="0" borderId="45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43" xfId="0" applyFont="1" applyBorder="1" applyAlignment="1">
      <alignment horizontal="right" vertical="center"/>
    </xf>
    <xf numFmtId="0" fontId="14" fillId="0" borderId="44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4" fontId="24" fillId="0" borderId="0" xfId="0" applyNumberFormat="1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26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>
      <alignment horizontal="left" vertical="center"/>
    </xf>
    <xf numFmtId="0" fontId="24" fillId="0" borderId="0" xfId="0" applyFont="1" applyAlignment="1" applyProtection="1">
      <alignment horizontal="left" vertical="center"/>
      <protection locked="0"/>
    </xf>
    <xf numFmtId="49" fontId="24" fillId="0" borderId="0" xfId="0" applyNumberFormat="1" applyFont="1" applyAlignment="1" applyProtection="1">
      <alignment horizontal="center" vertical="center"/>
      <protection locked="0"/>
    </xf>
    <xf numFmtId="49" fontId="26" fillId="0" borderId="0" xfId="0" applyNumberFormat="1" applyFont="1" applyAlignment="1" applyProtection="1">
      <alignment horizontal="center" vertical="center"/>
      <protection locked="0"/>
    </xf>
    <xf numFmtId="0" fontId="22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7" fillId="0" borderId="60" xfId="0" applyFont="1" applyBorder="1" applyAlignment="1">
      <alignment horizontal="justify" vertical="center"/>
    </xf>
    <xf numFmtId="0" fontId="1" fillId="0" borderId="60" xfId="0" applyFont="1" applyBorder="1" applyAlignment="1">
      <alignment horizontal="justify" vertical="center"/>
    </xf>
    <xf numFmtId="0" fontId="1" fillId="0" borderId="61" xfId="0" applyFont="1" applyBorder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1" fillId="0" borderId="62" xfId="0" applyFont="1" applyBorder="1" applyAlignment="1">
      <alignment horizontal="justify" vertical="center"/>
    </xf>
    <xf numFmtId="17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justify" vertical="center"/>
    </xf>
    <xf numFmtId="0" fontId="28" fillId="6" borderId="33" xfId="0" applyFont="1" applyFill="1" applyBorder="1" applyAlignment="1">
      <alignment horizontal="center" vertical="center" wrapText="1"/>
    </xf>
    <xf numFmtId="0" fontId="28" fillId="6" borderId="40" xfId="0" applyFont="1" applyFill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64" xfId="0" applyFont="1" applyBorder="1" applyAlignment="1">
      <alignment vertical="center"/>
    </xf>
    <xf numFmtId="0" fontId="31" fillId="0" borderId="46" xfId="0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0" fillId="7" borderId="64" xfId="0" applyFont="1" applyFill="1" applyBorder="1" applyAlignment="1">
      <alignment horizontal="justify" vertical="center" wrapText="1"/>
    </xf>
    <xf numFmtId="0" fontId="12" fillId="7" borderId="63" xfId="0" applyFont="1" applyFill="1" applyBorder="1" applyAlignment="1">
      <alignment horizontal="justify" vertical="center" wrapText="1"/>
    </xf>
    <xf numFmtId="0" fontId="0" fillId="7" borderId="63" xfId="0" applyFill="1" applyBorder="1" applyAlignment="1">
      <alignment vertical="center" wrapText="1"/>
    </xf>
    <xf numFmtId="0" fontId="0" fillId="7" borderId="44" xfId="0" applyFill="1" applyBorder="1" applyAlignment="1">
      <alignment vertical="center" wrapText="1"/>
    </xf>
    <xf numFmtId="0" fontId="10" fillId="7" borderId="65" xfId="0" applyFont="1" applyFill="1" applyBorder="1" applyAlignment="1">
      <alignment horizontal="justify" vertical="center" wrapText="1"/>
    </xf>
    <xf numFmtId="0" fontId="12" fillId="7" borderId="47" xfId="0" applyFont="1" applyFill="1" applyBorder="1" applyAlignment="1">
      <alignment horizontal="justify" vertical="center" wrapText="1"/>
    </xf>
    <xf numFmtId="0" fontId="0" fillId="7" borderId="47" xfId="0" applyFill="1" applyBorder="1" applyAlignment="1">
      <alignment vertical="center" wrapText="1"/>
    </xf>
    <xf numFmtId="0" fontId="0" fillId="7" borderId="46" xfId="0" applyFill="1" applyBorder="1" applyAlignment="1">
      <alignment vertical="center" wrapText="1"/>
    </xf>
    <xf numFmtId="0" fontId="12" fillId="7" borderId="46" xfId="0" applyFont="1" applyFill="1" applyBorder="1" applyAlignment="1">
      <alignment horizontal="justify" vertical="center" wrapText="1"/>
    </xf>
    <xf numFmtId="0" fontId="0" fillId="0" borderId="44" xfId="0" applyBorder="1" applyAlignment="1">
      <alignment horizontal="justify" vertical="center" wrapText="1"/>
    </xf>
    <xf numFmtId="0" fontId="0" fillId="0" borderId="46" xfId="0" applyBorder="1" applyAlignment="1">
      <alignment horizontal="justify" vertical="center" wrapText="1"/>
    </xf>
    <xf numFmtId="0" fontId="0" fillId="7" borderId="44" xfId="0" applyFill="1" applyBorder="1" applyAlignment="1">
      <alignment vertical="top" wrapText="1"/>
    </xf>
    <xf numFmtId="0" fontId="0" fillId="7" borderId="46" xfId="0" applyFill="1" applyBorder="1" applyAlignment="1">
      <alignment vertical="top" wrapText="1"/>
    </xf>
    <xf numFmtId="0" fontId="18" fillId="4" borderId="0" xfId="0" applyFont="1" applyFill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4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38" fillId="0" borderId="7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top" wrapText="1"/>
    </xf>
    <xf numFmtId="0" fontId="39" fillId="0" borderId="0" xfId="0" applyFont="1" applyAlignment="1">
      <alignment vertical="center"/>
    </xf>
    <xf numFmtId="2" fontId="37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38" fillId="0" borderId="9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38" fillId="0" borderId="6" xfId="0" applyFont="1" applyBorder="1" applyAlignment="1">
      <alignment horizontal="center" vertical="center" wrapText="1"/>
    </xf>
    <xf numFmtId="0" fontId="37" fillId="0" borderId="29" xfId="0" applyFont="1" applyBorder="1" applyAlignment="1">
      <alignment vertical="center"/>
    </xf>
    <xf numFmtId="2" fontId="44" fillId="0" borderId="0" xfId="0" applyNumberFormat="1" applyFont="1" applyAlignment="1">
      <alignment vertical="center"/>
    </xf>
    <xf numFmtId="0" fontId="37" fillId="0" borderId="7" xfId="0" applyFont="1" applyBorder="1" applyAlignment="1">
      <alignment vertical="center"/>
    </xf>
    <xf numFmtId="2" fontId="44" fillId="0" borderId="7" xfId="0" applyNumberFormat="1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2" fontId="40" fillId="0" borderId="7" xfId="0" applyNumberFormat="1" applyFont="1" applyBorder="1" applyAlignment="1">
      <alignment vertical="center"/>
    </xf>
    <xf numFmtId="0" fontId="37" fillId="0" borderId="8" xfId="0" applyFont="1" applyBorder="1" applyAlignment="1">
      <alignment vertical="center"/>
    </xf>
    <xf numFmtId="2" fontId="44" fillId="0" borderId="8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 indent="1"/>
    </xf>
    <xf numFmtId="0" fontId="43" fillId="0" borderId="0" xfId="0" applyFont="1" applyAlignment="1" applyProtection="1">
      <alignment horizontal="center" vertical="center"/>
      <protection locked="0"/>
    </xf>
    <xf numFmtId="0" fontId="37" fillId="0" borderId="5" xfId="0" applyFont="1" applyBorder="1" applyAlignment="1">
      <alignment vertical="center"/>
    </xf>
    <xf numFmtId="0" fontId="37" fillId="0" borderId="7" xfId="0" applyFont="1" applyBorder="1" applyAlignment="1">
      <alignment horizontal="left" vertical="center" indent="2"/>
    </xf>
    <xf numFmtId="0" fontId="37" fillId="0" borderId="7" xfId="0" applyFont="1" applyBorder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/>
    </xf>
    <xf numFmtId="0" fontId="37" fillId="0" borderId="7" xfId="0" applyFont="1" applyBorder="1" applyAlignment="1">
      <alignment horizontal="left" vertical="center" indent="1"/>
    </xf>
    <xf numFmtId="2" fontId="16" fillId="0" borderId="7" xfId="0" applyNumberFormat="1" applyFont="1" applyBorder="1" applyAlignment="1">
      <alignment horizontal="center" vertical="center"/>
    </xf>
    <xf numFmtId="2" fontId="40" fillId="0" borderId="7" xfId="0" applyNumberFormat="1" applyFont="1" applyBorder="1" applyAlignment="1">
      <alignment horizontal="center" vertical="center"/>
    </xf>
    <xf numFmtId="2" fontId="40" fillId="0" borderId="6" xfId="0" applyNumberFormat="1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5" fillId="0" borderId="7" xfId="0" applyFont="1" applyBorder="1" applyAlignment="1">
      <alignment horizontal="left" vertical="center" indent="2"/>
    </xf>
    <xf numFmtId="0" fontId="46" fillId="0" borderId="0" xfId="0" applyFont="1" applyAlignment="1" applyProtection="1">
      <alignment vertical="center"/>
      <protection locked="0"/>
    </xf>
    <xf numFmtId="0" fontId="37" fillId="0" borderId="6" xfId="0" applyFont="1" applyBorder="1" applyAlignment="1">
      <alignment vertical="center"/>
    </xf>
    <xf numFmtId="0" fontId="42" fillId="0" borderId="0" xfId="0" applyFont="1" applyAlignment="1" applyProtection="1">
      <alignment vertical="center"/>
      <protection locked="0"/>
    </xf>
    <xf numFmtId="2" fontId="44" fillId="0" borderId="5" xfId="0" applyNumberFormat="1" applyFont="1" applyBorder="1" applyAlignment="1">
      <alignment vertical="center"/>
    </xf>
    <xf numFmtId="0" fontId="37" fillId="0" borderId="0" xfId="0" applyFont="1" applyAlignment="1">
      <alignment horizontal="center" vertical="center"/>
    </xf>
    <xf numFmtId="2" fontId="16" fillId="0" borderId="8" xfId="0" applyNumberFormat="1" applyFont="1" applyBorder="1" applyAlignment="1">
      <alignment horizontal="center" vertical="center"/>
    </xf>
    <xf numFmtId="2" fontId="16" fillId="0" borderId="59" xfId="0" applyNumberFormat="1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8" fontId="16" fillId="0" borderId="7" xfId="0" applyNumberFormat="1" applyFont="1" applyBorder="1" applyAlignment="1">
      <alignment horizontal="center" vertical="center"/>
    </xf>
    <xf numFmtId="169" fontId="16" fillId="0" borderId="7" xfId="0" applyNumberFormat="1" applyFont="1" applyBorder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37" fillId="0" borderId="28" xfId="0" applyFont="1" applyBorder="1" applyAlignment="1">
      <alignment horizontal="right" vertical="center"/>
    </xf>
    <xf numFmtId="0" fontId="38" fillId="0" borderId="28" xfId="0" applyFont="1" applyBorder="1" applyAlignment="1">
      <alignment horizontal="right" vertical="top"/>
    </xf>
    <xf numFmtId="0" fontId="38" fillId="0" borderId="30" xfId="0" applyFont="1" applyBorder="1" applyAlignment="1">
      <alignment horizontal="right" vertical="top"/>
    </xf>
    <xf numFmtId="0" fontId="38" fillId="0" borderId="11" xfId="0" applyFont="1" applyBorder="1" applyAlignment="1">
      <alignment horizontal="right" vertical="center"/>
    </xf>
    <xf numFmtId="165" fontId="41" fillId="0" borderId="0" xfId="0" applyNumberFormat="1" applyFont="1" applyAlignment="1">
      <alignment horizontal="right" vertical="center"/>
    </xf>
    <xf numFmtId="166" fontId="39" fillId="0" borderId="0" xfId="0" applyNumberFormat="1" applyFont="1" applyAlignment="1">
      <alignment horizontal="right" vertical="center"/>
    </xf>
    <xf numFmtId="167" fontId="16" fillId="0" borderId="0" xfId="0" applyNumberFormat="1" applyFont="1" applyAlignment="1">
      <alignment horizontal="right" vertical="center"/>
    </xf>
    <xf numFmtId="166" fontId="16" fillId="0" borderId="0" xfId="0" applyNumberFormat="1" applyFont="1" applyAlignment="1">
      <alignment horizontal="right" vertical="center"/>
    </xf>
    <xf numFmtId="4" fontId="23" fillId="0" borderId="0" xfId="0" applyNumberFormat="1" applyFont="1" applyAlignment="1" applyProtection="1">
      <alignment horizontal="center" vertical="center"/>
      <protection locked="0"/>
    </xf>
    <xf numFmtId="0" fontId="37" fillId="0" borderId="7" xfId="0" applyFont="1" applyBorder="1" applyAlignment="1">
      <alignment horizontal="left" vertical="center" wrapText="1"/>
    </xf>
    <xf numFmtId="0" fontId="40" fillId="0" borderId="7" xfId="0" applyFont="1" applyBorder="1" applyAlignment="1">
      <alignment vertical="center"/>
    </xf>
    <xf numFmtId="0" fontId="45" fillId="0" borderId="7" xfId="0" applyFont="1" applyBorder="1" applyAlignment="1">
      <alignment horizontal="left" vertical="center"/>
    </xf>
    <xf numFmtId="0" fontId="48" fillId="0" borderId="10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indent="2"/>
    </xf>
    <xf numFmtId="0" fontId="47" fillId="0" borderId="10" xfId="0" applyFont="1" applyBorder="1" applyAlignment="1">
      <alignment horizontal="left" vertical="center" wrapText="1" indent="1"/>
    </xf>
    <xf numFmtId="0" fontId="20" fillId="0" borderId="65" xfId="0" applyFont="1" applyBorder="1" applyAlignment="1">
      <alignment vertical="center" wrapText="1"/>
    </xf>
    <xf numFmtId="0" fontId="17" fillId="0" borderId="51" xfId="0" applyFont="1" applyBorder="1" applyAlignment="1">
      <alignment horizontal="left" vertical="center"/>
    </xf>
    <xf numFmtId="0" fontId="20" fillId="0" borderId="47" xfId="0" applyFont="1" applyBorder="1" applyAlignment="1">
      <alignment vertical="center" wrapText="1"/>
    </xf>
    <xf numFmtId="0" fontId="17" fillId="0" borderId="53" xfId="0" applyFont="1" applyBorder="1" applyAlignment="1">
      <alignment horizontal="left" vertical="center"/>
    </xf>
    <xf numFmtId="170" fontId="47" fillId="0" borderId="38" xfId="0" applyNumberFormat="1" applyFont="1" applyBorder="1" applyAlignment="1">
      <alignment horizontal="left" vertical="center"/>
    </xf>
    <xf numFmtId="171" fontId="20" fillId="0" borderId="38" xfId="0" applyNumberFormat="1" applyFont="1" applyBorder="1" applyAlignment="1">
      <alignment horizontal="left" vertical="center"/>
    </xf>
    <xf numFmtId="0" fontId="48" fillId="0" borderId="38" xfId="0" quotePrefix="1" applyFont="1" applyBorder="1" applyAlignment="1">
      <alignment horizontal="left" vertical="center"/>
    </xf>
    <xf numFmtId="0" fontId="48" fillId="0" borderId="36" xfId="0" applyFont="1" applyBorder="1" applyAlignment="1">
      <alignment horizontal="left" vertical="center"/>
    </xf>
    <xf numFmtId="0" fontId="18" fillId="0" borderId="8" xfId="0" applyFont="1" applyBorder="1" applyAlignment="1">
      <alignment horizontal="center" vertical="center"/>
    </xf>
    <xf numFmtId="0" fontId="21" fillId="8" borderId="66" xfId="0" applyFont="1" applyFill="1" applyBorder="1" applyAlignment="1">
      <alignment horizontal="center" vertical="center"/>
    </xf>
    <xf numFmtId="0" fontId="21" fillId="8" borderId="33" xfId="0" applyFont="1" applyFill="1" applyBorder="1" applyAlignment="1">
      <alignment horizontal="center" vertical="center"/>
    </xf>
    <xf numFmtId="0" fontId="21" fillId="8" borderId="40" xfId="0" applyFont="1" applyFill="1" applyBorder="1" applyAlignment="1">
      <alignment horizontal="center" vertical="center"/>
    </xf>
    <xf numFmtId="4" fontId="22" fillId="0" borderId="39" xfId="0" applyNumberFormat="1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 indent="1"/>
    </xf>
    <xf numFmtId="0" fontId="45" fillId="0" borderId="7" xfId="0" applyFont="1" applyBorder="1" applyAlignment="1">
      <alignment horizontal="left" vertical="center" wrapText="1" indent="1"/>
    </xf>
    <xf numFmtId="0" fontId="45" fillId="0" borderId="7" xfId="0" applyFont="1" applyBorder="1" applyAlignment="1">
      <alignment horizontal="left" vertical="center" indent="1"/>
    </xf>
    <xf numFmtId="0" fontId="18" fillId="0" borderId="37" xfId="0" applyFont="1" applyBorder="1" applyAlignment="1">
      <alignment horizontal="center" vertical="center"/>
    </xf>
    <xf numFmtId="170" fontId="20" fillId="0" borderId="38" xfId="0" applyNumberFormat="1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 wrapText="1" indent="1"/>
    </xf>
    <xf numFmtId="170" fontId="20" fillId="0" borderId="69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 wrapText="1" indent="1"/>
    </xf>
    <xf numFmtId="165" fontId="41" fillId="0" borderId="0" xfId="0" quotePrefix="1" applyNumberFormat="1" applyFont="1" applyAlignment="1">
      <alignment horizontal="right" vertical="center"/>
    </xf>
    <xf numFmtId="2" fontId="16" fillId="0" borderId="7" xfId="0" applyNumberFormat="1" applyFont="1" applyBorder="1" applyAlignment="1">
      <alignment vertical="center"/>
    </xf>
    <xf numFmtId="2" fontId="16" fillId="0" borderId="71" xfId="0" applyNumberFormat="1" applyFont="1" applyBorder="1" applyAlignment="1">
      <alignment horizontal="center" vertical="center"/>
    </xf>
    <xf numFmtId="2" fontId="40" fillId="0" borderId="7" xfId="0" applyNumberFormat="1" applyFont="1" applyBorder="1" applyAlignment="1">
      <alignment horizontal="left" vertical="center"/>
    </xf>
    <xf numFmtId="2" fontId="37" fillId="0" borderId="7" xfId="0" applyNumberFormat="1" applyFont="1" applyBorder="1" applyAlignment="1">
      <alignment horizontal="center" vertical="center"/>
    </xf>
    <xf numFmtId="0" fontId="0" fillId="0" borderId="10" xfId="0" applyBorder="1"/>
    <xf numFmtId="14" fontId="0" fillId="0" borderId="10" xfId="0" applyNumberFormat="1" applyBorder="1"/>
    <xf numFmtId="0" fontId="37" fillId="0" borderId="7" xfId="0" applyFont="1" applyBorder="1" applyAlignment="1">
      <alignment horizontal="left" vertical="center" wrapText="1" indent="1"/>
    </xf>
    <xf numFmtId="0" fontId="37" fillId="0" borderId="7" xfId="0" applyFont="1" applyBorder="1" applyAlignment="1">
      <alignment vertical="center" wrapText="1"/>
    </xf>
    <xf numFmtId="167" fontId="16" fillId="0" borderId="0" xfId="0" applyNumberFormat="1" applyFont="1" applyAlignment="1">
      <alignment horizontal="left" vertical="center"/>
    </xf>
    <xf numFmtId="2" fontId="50" fillId="0" borderId="7" xfId="0" applyNumberFormat="1" applyFont="1" applyBorder="1" applyAlignment="1">
      <alignment horizontal="center" vertical="center"/>
    </xf>
    <xf numFmtId="2" fontId="41" fillId="0" borderId="0" xfId="0" applyNumberFormat="1" applyFont="1" applyAlignment="1">
      <alignment vertical="center"/>
    </xf>
    <xf numFmtId="0" fontId="37" fillId="0" borderId="7" xfId="0" applyFont="1" applyBorder="1" applyAlignment="1">
      <alignment horizontal="left" vertical="center" wrapText="1" indent="2"/>
    </xf>
    <xf numFmtId="0" fontId="38" fillId="0" borderId="7" xfId="0" applyFont="1" applyBorder="1" applyAlignment="1">
      <alignment horizontal="left" vertical="center" wrapText="1" indent="1"/>
    </xf>
    <xf numFmtId="0" fontId="52" fillId="0" borderId="7" xfId="0" applyFont="1" applyBorder="1" applyAlignment="1">
      <alignment horizontal="left" vertical="center" wrapText="1" indent="1"/>
    </xf>
    <xf numFmtId="0" fontId="40" fillId="0" borderId="6" xfId="0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/>
    </xf>
    <xf numFmtId="2" fontId="44" fillId="0" borderId="6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 wrapText="1" indent="2"/>
    </xf>
    <xf numFmtId="0" fontId="22" fillId="0" borderId="6" xfId="0" applyFont="1" applyBorder="1" applyAlignment="1">
      <alignment horizontal="center" vertical="center"/>
    </xf>
    <xf numFmtId="0" fontId="47" fillId="2" borderId="10" xfId="0" applyFont="1" applyFill="1" applyBorder="1" applyAlignment="1">
      <alignment horizontal="left" vertical="center" wrapText="1" indent="1"/>
    </xf>
    <xf numFmtId="171" fontId="20" fillId="2" borderId="38" xfId="0" applyNumberFormat="1" applyFont="1" applyFill="1" applyBorder="1" applyAlignment="1">
      <alignment horizontal="left" vertical="center"/>
    </xf>
    <xf numFmtId="170" fontId="47" fillId="2" borderId="38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indent="1"/>
    </xf>
    <xf numFmtId="2" fontId="18" fillId="0" borderId="39" xfId="0" applyNumberFormat="1" applyFont="1" applyBorder="1" applyAlignment="1">
      <alignment horizontal="center" vertical="center"/>
    </xf>
    <xf numFmtId="2" fontId="16" fillId="2" borderId="7" xfId="0" applyNumberFormat="1" applyFont="1" applyFill="1" applyBorder="1" applyAlignment="1">
      <alignment horizontal="center" vertical="center"/>
    </xf>
    <xf numFmtId="0" fontId="55" fillId="0" borderId="7" xfId="0" applyFont="1" applyBorder="1" applyAlignment="1">
      <alignment horizontal="left" vertical="center" indent="3"/>
    </xf>
    <xf numFmtId="0" fontId="16" fillId="9" borderId="0" xfId="0" applyFont="1" applyFill="1" applyAlignment="1">
      <alignment horizontal="left" vertical="center" indent="1"/>
    </xf>
    <xf numFmtId="0" fontId="16" fillId="0" borderId="7" xfId="0" applyFont="1" applyBorder="1" applyAlignment="1">
      <alignment horizontal="center" vertical="center"/>
    </xf>
    <xf numFmtId="2" fontId="56" fillId="0" borderId="0" xfId="0" applyNumberFormat="1" applyFont="1" applyAlignment="1">
      <alignment horizontal="center" vertical="center"/>
    </xf>
    <xf numFmtId="0" fontId="37" fillId="0" borderId="59" xfId="0" applyFont="1" applyBorder="1" applyAlignment="1">
      <alignment vertical="center"/>
    </xf>
    <xf numFmtId="0" fontId="38" fillId="0" borderId="0" xfId="0" applyFont="1" applyAlignment="1">
      <alignment horizontal="center" vertical="top" wrapText="1"/>
    </xf>
    <xf numFmtId="0" fontId="45" fillId="0" borderId="7" xfId="0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 wrapText="1" indent="2"/>
    </xf>
    <xf numFmtId="0" fontId="48" fillId="0" borderId="10" xfId="0" applyFont="1" applyBorder="1" applyAlignment="1">
      <alignment horizontal="left" vertical="center" wrapText="1" indent="1"/>
    </xf>
    <xf numFmtId="0" fontId="18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indent="2"/>
    </xf>
    <xf numFmtId="2" fontId="16" fillId="0" borderId="5" xfId="0" applyNumberFormat="1" applyFont="1" applyBorder="1" applyAlignment="1">
      <alignment horizontal="center" vertical="center"/>
    </xf>
    <xf numFmtId="2" fontId="40" fillId="0" borderId="5" xfId="0" applyNumberFormat="1" applyFont="1" applyBorder="1" applyAlignment="1">
      <alignment horizontal="center" vertical="center"/>
    </xf>
    <xf numFmtId="169" fontId="16" fillId="0" borderId="0" xfId="0" applyNumberFormat="1" applyFont="1" applyAlignment="1">
      <alignment horizontal="center" vertical="center"/>
    </xf>
    <xf numFmtId="0" fontId="16" fillId="0" borderId="7" xfId="0" applyFont="1" applyBorder="1" applyAlignment="1">
      <alignment horizontal="left" vertical="center" indent="3"/>
    </xf>
    <xf numFmtId="0" fontId="16" fillId="0" borderId="7" xfId="0" applyFont="1" applyBorder="1" applyAlignment="1">
      <alignment horizontal="left" vertical="center" wrapText="1" indent="2"/>
    </xf>
    <xf numFmtId="0" fontId="16" fillId="0" borderId="7" xfId="0" applyFont="1" applyBorder="1" applyAlignment="1">
      <alignment horizontal="center" vertical="center" wrapText="1"/>
    </xf>
    <xf numFmtId="2" fontId="57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 indent="2"/>
    </xf>
    <xf numFmtId="168" fontId="16" fillId="0" borderId="0" xfId="0" applyNumberFormat="1" applyFont="1" applyAlignment="1">
      <alignment horizontal="center" vertical="center"/>
    </xf>
    <xf numFmtId="169" fontId="16" fillId="0" borderId="8" xfId="0" applyNumberFormat="1" applyFont="1" applyBorder="1" applyAlignment="1">
      <alignment horizontal="center" vertical="center"/>
    </xf>
    <xf numFmtId="2" fontId="18" fillId="0" borderId="10" xfId="0" applyNumberFormat="1" applyFont="1" applyBorder="1" applyAlignment="1">
      <alignment horizontal="center" vertical="center"/>
    </xf>
    <xf numFmtId="0" fontId="40" fillId="0" borderId="72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2" fontId="40" fillId="0" borderId="10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top" wrapText="1"/>
    </xf>
    <xf numFmtId="2" fontId="40" fillId="0" borderId="8" xfId="0" applyNumberFormat="1" applyFont="1" applyBorder="1" applyAlignment="1">
      <alignment horizontal="left" vertical="center"/>
    </xf>
    <xf numFmtId="0" fontId="20" fillId="0" borderId="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7" xfId="0" applyFont="1" applyBorder="1" applyAlignment="1">
      <alignment horizontal="left" vertical="center" wrapText="1"/>
    </xf>
    <xf numFmtId="2" fontId="22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171" fontId="20" fillId="2" borderId="41" xfId="0" applyNumberFormat="1" applyFont="1" applyFill="1" applyBorder="1" applyAlignment="1">
      <alignment horizontal="left" vertical="center"/>
    </xf>
    <xf numFmtId="0" fontId="22" fillId="0" borderId="6" xfId="0" applyFont="1" applyBorder="1" applyAlignment="1">
      <alignment horizontal="left" vertical="center" wrapText="1" indent="2"/>
    </xf>
    <xf numFmtId="0" fontId="5" fillId="0" borderId="10" xfId="0" applyFont="1" applyBorder="1" applyAlignment="1">
      <alignment vertical="center"/>
    </xf>
    <xf numFmtId="0" fontId="41" fillId="10" borderId="0" xfId="0" applyFont="1" applyFill="1" applyAlignment="1">
      <alignment vertical="center"/>
    </xf>
    <xf numFmtId="0" fontId="39" fillId="10" borderId="0" xfId="0" applyFont="1" applyFill="1" applyAlignment="1">
      <alignment horizontal="left" vertical="center" indent="1"/>
    </xf>
    <xf numFmtId="0" fontId="37" fillId="10" borderId="0" xfId="0" applyFont="1" applyFill="1" applyAlignment="1">
      <alignment horizontal="left" vertical="center" indent="2"/>
    </xf>
    <xf numFmtId="0" fontId="16" fillId="10" borderId="0" xfId="0" applyFont="1" applyFill="1" applyAlignment="1">
      <alignment horizontal="left" vertical="center" indent="2"/>
    </xf>
    <xf numFmtId="0" fontId="39" fillId="10" borderId="0" xfId="0" applyFont="1" applyFill="1" applyAlignment="1">
      <alignment horizontal="left" vertical="center" indent="2"/>
    </xf>
    <xf numFmtId="2" fontId="40" fillId="2" borderId="7" xfId="0" applyNumberFormat="1" applyFont="1" applyFill="1" applyBorder="1" applyAlignment="1">
      <alignment vertical="center"/>
    </xf>
    <xf numFmtId="165" fontId="41" fillId="10" borderId="0" xfId="0" applyNumberFormat="1" applyFont="1" applyFill="1" applyAlignment="1">
      <alignment horizontal="left" vertical="center"/>
    </xf>
    <xf numFmtId="166" fontId="39" fillId="10" borderId="0" xfId="0" applyNumberFormat="1" applyFont="1" applyFill="1" applyAlignment="1">
      <alignment horizontal="left" vertical="center"/>
    </xf>
    <xf numFmtId="0" fontId="5" fillId="10" borderId="0" xfId="0" applyFont="1" applyFill="1" applyAlignment="1">
      <alignment vertical="center"/>
    </xf>
    <xf numFmtId="0" fontId="38" fillId="0" borderId="8" xfId="0" applyFont="1" applyBorder="1" applyAlignment="1">
      <alignment vertical="top" wrapText="1"/>
    </xf>
    <xf numFmtId="0" fontId="37" fillId="10" borderId="0" xfId="0" applyFont="1" applyFill="1" applyAlignment="1">
      <alignment vertical="center"/>
    </xf>
    <xf numFmtId="2" fontId="16" fillId="10" borderId="7" xfId="0" applyNumberFormat="1" applyFont="1" applyFill="1" applyBorder="1" applyAlignment="1">
      <alignment horizontal="center" vertical="center"/>
    </xf>
    <xf numFmtId="0" fontId="16" fillId="10" borderId="0" xfId="0" applyFont="1" applyFill="1" applyAlignment="1">
      <alignment horizontal="left" vertical="center" indent="1"/>
    </xf>
    <xf numFmtId="0" fontId="38" fillId="0" borderId="10" xfId="0" applyFont="1" applyBorder="1" applyAlignment="1">
      <alignment horizontal="center" vertical="center" wrapText="1"/>
    </xf>
    <xf numFmtId="2" fontId="40" fillId="0" borderId="8" xfId="0" applyNumberFormat="1" applyFont="1" applyBorder="1" applyAlignment="1">
      <alignment horizontal="center" vertical="center"/>
    </xf>
    <xf numFmtId="2" fontId="40" fillId="0" borderId="8" xfId="0" applyNumberFormat="1" applyFont="1" applyBorder="1" applyAlignment="1">
      <alignment vertical="center"/>
    </xf>
    <xf numFmtId="2" fontId="40" fillId="0" borderId="10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 indent="1"/>
    </xf>
    <xf numFmtId="4" fontId="22" fillId="0" borderId="42" xfId="0" applyNumberFormat="1" applyFont="1" applyBorder="1" applyAlignment="1">
      <alignment horizontal="center" vertical="center"/>
    </xf>
    <xf numFmtId="0" fontId="25" fillId="0" borderId="10" xfId="0" applyFont="1" applyBorder="1" applyAlignment="1" applyProtection="1">
      <alignment horizontal="center" vertical="center"/>
      <protection locked="0"/>
    </xf>
    <xf numFmtId="2" fontId="59" fillId="0" borderId="0" xfId="0" applyNumberFormat="1" applyFont="1" applyAlignment="1">
      <alignment horizontal="center" vertical="center"/>
    </xf>
    <xf numFmtId="0" fontId="38" fillId="0" borderId="10" xfId="0" applyFont="1" applyBorder="1" applyAlignment="1">
      <alignment horizontal="center" vertical="top" wrapText="1"/>
    </xf>
    <xf numFmtId="2" fontId="40" fillId="0" borderId="0" xfId="0" applyNumberFormat="1" applyFont="1" applyAlignment="1">
      <alignment horizontal="center" vertical="center"/>
    </xf>
    <xf numFmtId="2" fontId="40" fillId="0" borderId="0" xfId="0" applyNumberFormat="1" applyFont="1" applyAlignment="1">
      <alignment horizontal="left" vertical="center"/>
    </xf>
    <xf numFmtId="2" fontId="16" fillId="9" borderId="7" xfId="0" applyNumberFormat="1" applyFont="1" applyFill="1" applyBorder="1" applyAlignment="1">
      <alignment horizontal="center" vertical="center"/>
    </xf>
    <xf numFmtId="0" fontId="48" fillId="2" borderId="8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left" vertical="center" wrapText="1" indent="2"/>
    </xf>
    <xf numFmtId="0" fontId="20" fillId="2" borderId="10" xfId="0" applyFont="1" applyFill="1" applyBorder="1" applyAlignment="1">
      <alignment horizontal="left" vertical="center" wrapText="1" indent="2"/>
    </xf>
    <xf numFmtId="0" fontId="22" fillId="2" borderId="10" xfId="0" applyFont="1" applyFill="1" applyBorder="1" applyAlignment="1">
      <alignment horizontal="left" vertical="center" wrapText="1" indent="2" readingOrder="1"/>
    </xf>
    <xf numFmtId="0" fontId="48" fillId="2" borderId="10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 indent="2" readingOrder="1"/>
    </xf>
    <xf numFmtId="0" fontId="48" fillId="2" borderId="10" xfId="0" applyFont="1" applyFill="1" applyBorder="1" applyAlignment="1">
      <alignment horizontal="left" vertical="center" wrapText="1" indent="1"/>
    </xf>
    <xf numFmtId="2" fontId="16" fillId="0" borderId="7" xfId="0" applyNumberFormat="1" applyFont="1" applyBorder="1" applyAlignment="1">
      <alignment horizontal="left" vertical="center" indent="3"/>
    </xf>
    <xf numFmtId="0" fontId="38" fillId="0" borderId="8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/>
    </xf>
    <xf numFmtId="2" fontId="40" fillId="10" borderId="10" xfId="0" applyNumberFormat="1" applyFont="1" applyFill="1" applyBorder="1" applyAlignment="1">
      <alignment horizontal="center" vertical="center"/>
    </xf>
    <xf numFmtId="2" fontId="40" fillId="0" borderId="0" xfId="0" applyNumberFormat="1" applyFont="1" applyAlignment="1">
      <alignment vertical="center"/>
    </xf>
    <xf numFmtId="2" fontId="16" fillId="0" borderId="73" xfId="0" applyNumberFormat="1" applyFont="1" applyBorder="1" applyAlignment="1">
      <alignment horizontal="center" vertical="center"/>
    </xf>
    <xf numFmtId="0" fontId="37" fillId="0" borderId="74" xfId="0" applyFont="1" applyBorder="1" applyAlignment="1">
      <alignment vertical="center"/>
    </xf>
    <xf numFmtId="2" fontId="44" fillId="0" borderId="74" xfId="0" applyNumberFormat="1" applyFont="1" applyBorder="1" applyAlignment="1">
      <alignment vertical="center"/>
    </xf>
    <xf numFmtId="2" fontId="40" fillId="10" borderId="0" xfId="0" applyNumberFormat="1" applyFont="1" applyFill="1" applyAlignment="1">
      <alignment horizontal="center" vertical="center"/>
    </xf>
    <xf numFmtId="2" fontId="18" fillId="0" borderId="74" xfId="0" applyNumberFormat="1" applyFont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21" xfId="0" applyFont="1" applyFill="1" applyBorder="1" applyAlignment="1">
      <alignment horizontal="left" vertical="top"/>
    </xf>
    <xf numFmtId="0" fontId="1" fillId="2" borderId="22" xfId="0" applyFont="1" applyFill="1" applyBorder="1" applyAlignment="1">
      <alignment horizontal="left" vertical="top"/>
    </xf>
    <xf numFmtId="0" fontId="37" fillId="0" borderId="7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top" wrapText="1"/>
    </xf>
    <xf numFmtId="0" fontId="38" fillId="0" borderId="8" xfId="0" applyFont="1" applyBorder="1" applyAlignment="1">
      <alignment horizontal="center" vertical="top" wrapText="1"/>
    </xf>
    <xf numFmtId="0" fontId="36" fillId="0" borderId="25" xfId="0" applyFont="1" applyBorder="1" applyAlignment="1">
      <alignment horizontal="center" vertical="center"/>
    </xf>
    <xf numFmtId="0" fontId="36" fillId="0" borderId="26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49" fontId="37" fillId="0" borderId="12" xfId="0" applyNumberFormat="1" applyFont="1" applyBorder="1" applyAlignment="1">
      <alignment horizontal="center" vertical="center"/>
    </xf>
    <xf numFmtId="49" fontId="37" fillId="0" borderId="4" xfId="0" applyNumberFormat="1" applyFont="1" applyBorder="1" applyAlignment="1">
      <alignment horizontal="center" vertical="center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/>
    </xf>
    <xf numFmtId="49" fontId="37" fillId="0" borderId="31" xfId="0" applyNumberFormat="1" applyFont="1" applyBorder="1" applyAlignment="1">
      <alignment horizontal="left" vertical="top"/>
    </xf>
    <xf numFmtId="0" fontId="37" fillId="0" borderId="0" xfId="0" applyFont="1" applyAlignment="1">
      <alignment horizontal="center" vertical="center" wrapText="1"/>
    </xf>
    <xf numFmtId="0" fontId="37" fillId="0" borderId="29" xfId="0" applyFont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0" fontId="37" fillId="0" borderId="32" xfId="0" applyFont="1" applyBorder="1" applyAlignment="1">
      <alignment horizontal="center" vertical="center" wrapText="1"/>
    </xf>
    <xf numFmtId="0" fontId="37" fillId="0" borderId="75" xfId="0" applyFont="1" applyBorder="1" applyAlignment="1">
      <alignment horizontal="center" vertical="center" wrapText="1"/>
    </xf>
    <xf numFmtId="0" fontId="49" fillId="2" borderId="34" xfId="0" applyFont="1" applyFill="1" applyBorder="1" applyAlignment="1">
      <alignment horizontal="center" vertical="center"/>
    </xf>
    <xf numFmtId="0" fontId="49" fillId="2" borderId="67" xfId="0" applyFont="1" applyFill="1" applyBorder="1" applyAlignment="1">
      <alignment horizontal="center" vertical="center"/>
    </xf>
    <xf numFmtId="0" fontId="49" fillId="2" borderId="35" xfId="0" applyFont="1" applyFill="1" applyBorder="1" applyAlignment="1">
      <alignment horizontal="center" vertical="center"/>
    </xf>
    <xf numFmtId="0" fontId="17" fillId="0" borderId="68" xfId="0" applyFont="1" applyBorder="1" applyAlignment="1">
      <alignment horizontal="left" vertical="center"/>
    </xf>
    <xf numFmtId="0" fontId="17" fillId="0" borderId="51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47" xfId="0" applyFont="1" applyBorder="1" applyAlignment="1">
      <alignment horizontal="left" vertical="center"/>
    </xf>
    <xf numFmtId="49" fontId="20" fillId="0" borderId="45" xfId="0" quotePrefix="1" applyNumberFormat="1" applyFont="1" applyBorder="1" applyAlignment="1">
      <alignment horizontal="left" vertical="center"/>
    </xf>
    <xf numFmtId="49" fontId="20" fillId="0" borderId="46" xfId="0" quotePrefix="1" applyNumberFormat="1" applyFont="1" applyBorder="1" applyAlignment="1">
      <alignment horizontal="left" vertical="center"/>
    </xf>
    <xf numFmtId="0" fontId="20" fillId="2" borderId="71" xfId="0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12" fillId="7" borderId="66" xfId="0" applyFont="1" applyFill="1" applyBorder="1" applyAlignment="1">
      <alignment horizontal="justify" vertical="center" wrapText="1"/>
    </xf>
    <xf numFmtId="0" fontId="12" fillId="7" borderId="40" xfId="0" applyFont="1" applyFill="1" applyBorder="1" applyAlignment="1">
      <alignment horizontal="justify" vertical="center" wrapText="1"/>
    </xf>
    <xf numFmtId="0" fontId="10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17BFF"/>
      <color rgb="FFBA9220"/>
      <color rgb="FFCB9027"/>
      <color rgb="FFB5AAE4"/>
      <color rgb="FF7E7EFA"/>
      <color rgb="FFB782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</xdr:colOff>
      <xdr:row>0</xdr:row>
      <xdr:rowOff>295275</xdr:rowOff>
    </xdr:from>
    <xdr:ext cx="828676" cy="876301"/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54" r="23513" b="49826"/>
        <a:stretch/>
      </xdr:blipFill>
      <xdr:spPr bwMode="auto">
        <a:xfrm>
          <a:off x="5191125" y="295275"/>
          <a:ext cx="828676" cy="8763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519954</xdr:colOff>
      <xdr:row>2</xdr:row>
      <xdr:rowOff>93008</xdr:rowOff>
    </xdr:from>
    <xdr:ext cx="711573" cy="862853"/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54" r="23513" b="49826"/>
        <a:stretch/>
      </xdr:blipFill>
      <xdr:spPr bwMode="auto">
        <a:xfrm>
          <a:off x="9368679" y="426383"/>
          <a:ext cx="711573" cy="86285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158312</xdr:colOff>
      <xdr:row>3</xdr:row>
      <xdr:rowOff>31137</xdr:rowOff>
    </xdr:from>
    <xdr:ext cx="596068" cy="654664"/>
    <xdr:pic>
      <xdr:nvPicPr>
        <xdr:cNvPr id="2" name="Imagen 1">
          <a:extLst>
            <a:ext uri="{FF2B5EF4-FFF2-40B4-BE49-F238E27FC236}">
              <a16:creationId xmlns:a16="http://schemas.microsoft.com/office/drawing/2014/main" id="{300AD2E2-4E43-4F3E-9776-51C70F41DE1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54" r="23513" b="49826"/>
        <a:stretch/>
      </xdr:blipFill>
      <xdr:spPr bwMode="auto">
        <a:xfrm>
          <a:off x="8311712" y="473097"/>
          <a:ext cx="596068" cy="65466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941182</xdr:colOff>
      <xdr:row>129</xdr:row>
      <xdr:rowOff>173355</xdr:rowOff>
    </xdr:from>
    <xdr:to>
      <xdr:col>5</xdr:col>
      <xdr:colOff>399266</xdr:colOff>
      <xdr:row>129</xdr:row>
      <xdr:rowOff>173355</xdr:rowOff>
    </xdr:to>
    <xdr:cxnSp macro="">
      <xdr:nvCxnSpPr>
        <xdr:cNvPr id="2" name="Line 45">
          <a:extLst>
            <a:ext uri="{FF2B5EF4-FFF2-40B4-BE49-F238E27FC236}">
              <a16:creationId xmlns:a16="http://schemas.microsoft.com/office/drawing/2014/main" id="{40A174DD-F3F4-E44B-4E33-6D72A9C42C78}"/>
            </a:ext>
          </a:extLst>
        </xdr:cNvPr>
        <xdr:cNvCxnSpPr>
          <a:cxnSpLocks noChangeShapeType="1"/>
        </xdr:cNvCxnSpPr>
      </xdr:nvCxnSpPr>
      <xdr:spPr bwMode="auto">
        <a:xfrm>
          <a:off x="2002539" y="32776069"/>
          <a:ext cx="495537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1"/>
  <sheetViews>
    <sheetView showWhiteSpace="0" view="pageBreakPreview" zoomScaleNormal="100" zoomScaleSheetLayoutView="100" workbookViewId="0">
      <selection activeCell="D60" sqref="D60"/>
    </sheetView>
  </sheetViews>
  <sheetFormatPr baseColWidth="10" defaultRowHeight="14.4"/>
  <cols>
    <col min="2" max="2" width="55.6640625" customWidth="1"/>
    <col min="3" max="3" width="11.6640625" customWidth="1"/>
    <col min="4" max="4" width="14.44140625" customWidth="1"/>
  </cols>
  <sheetData>
    <row r="1" spans="1:4" ht="25.8">
      <c r="A1" s="299" t="s">
        <v>34</v>
      </c>
      <c r="B1" s="300"/>
      <c r="C1" s="300"/>
      <c r="D1" s="301"/>
    </row>
    <row r="2" spans="1:4">
      <c r="A2" s="19"/>
      <c r="B2" s="1"/>
      <c r="C2" s="1"/>
      <c r="D2" s="20"/>
    </row>
    <row r="3" spans="1:4" ht="45" customHeight="1">
      <c r="A3" s="21" t="s">
        <v>1</v>
      </c>
      <c r="B3" s="302" t="e">
        <f>+'metrado final'!D5:I5</f>
        <v>#VALUE!</v>
      </c>
      <c r="C3" s="303"/>
      <c r="D3" s="304"/>
    </row>
    <row r="4" spans="1:4" s="23" customFormat="1" ht="18" customHeight="1">
      <c r="A4" s="21" t="s">
        <v>16</v>
      </c>
      <c r="B4" s="307" t="e">
        <f>+'metrado final'!D6:I6</f>
        <v>#VALUE!</v>
      </c>
      <c r="C4" s="308"/>
      <c r="D4" s="305"/>
    </row>
    <row r="5" spans="1:4" s="23" customFormat="1" ht="18" customHeight="1" thickBot="1">
      <c r="A5" s="22" t="s">
        <v>2</v>
      </c>
      <c r="B5" s="309" t="e">
        <f>+'metrado final'!D7:I7</f>
        <v>#VALUE!</v>
      </c>
      <c r="C5" s="310"/>
      <c r="D5" s="306"/>
    </row>
    <row r="6" spans="1:4">
      <c r="A6" s="16"/>
      <c r="B6" s="298"/>
      <c r="C6" s="298"/>
      <c r="D6" s="298"/>
    </row>
    <row r="7" spans="1:4" ht="21.75" customHeight="1">
      <c r="A7" s="17" t="s">
        <v>27</v>
      </c>
      <c r="B7" s="18" t="s">
        <v>28</v>
      </c>
      <c r="C7" s="18" t="s">
        <v>29</v>
      </c>
      <c r="D7" s="18" t="s">
        <v>30</v>
      </c>
    </row>
    <row r="8" spans="1:4">
      <c r="A8" s="2">
        <v>1</v>
      </c>
      <c r="B8" s="3" t="e">
        <f>+VLOOKUP(A8,'metrado final'!#REF!,2)</f>
        <v>#REF!</v>
      </c>
      <c r="C8" s="4"/>
      <c r="D8" s="25"/>
    </row>
    <row r="9" spans="1:4">
      <c r="A9" s="5">
        <f>+A8+0.01</f>
        <v>1.01</v>
      </c>
      <c r="B9" s="6" t="e">
        <f>+VLOOKUP(A9,'metrado final'!#REF!,2)</f>
        <v>#REF!</v>
      </c>
      <c r="C9" s="4"/>
      <c r="D9" s="25"/>
    </row>
    <row r="10" spans="1:4">
      <c r="A10" s="7">
        <f>+A9+0.0001</f>
        <v>1.0101</v>
      </c>
      <c r="B10" s="8" t="e">
        <f>+VLOOKUP(A10,'metrado final'!#REF!,2)</f>
        <v>#REF!</v>
      </c>
      <c r="C10" s="9" t="e">
        <f>+VLOOKUP(A10,'metrado final'!#REF!,3)</f>
        <v>#REF!</v>
      </c>
      <c r="D10" s="24" t="e">
        <f>+VLOOKUP(A10,'metrado final'!#REF!,4)</f>
        <v>#REF!</v>
      </c>
    </row>
    <row r="11" spans="1:4">
      <c r="A11" s="7">
        <f t="shared" ref="A11" si="0">+A10+0.0001</f>
        <v>1.0102</v>
      </c>
      <c r="B11" s="8" t="e">
        <f>+VLOOKUP(A11,'metrado final'!#REF!,2)</f>
        <v>#REF!</v>
      </c>
      <c r="C11" s="9" t="e">
        <f>+VLOOKUP(A11,'metrado final'!#REF!,3)</f>
        <v>#REF!</v>
      </c>
      <c r="D11" s="24" t="e">
        <f>+VLOOKUP(A11,'metrado final'!#REF!,4)</f>
        <v>#REF!</v>
      </c>
    </row>
    <row r="12" spans="1:4">
      <c r="A12" s="5">
        <f>+A9+0.01</f>
        <v>1.02</v>
      </c>
      <c r="B12" s="6" t="e">
        <f>+VLOOKUP(A12,'metrado final'!#REF!,2)</f>
        <v>#REF!</v>
      </c>
      <c r="C12" s="9"/>
      <c r="D12" s="25"/>
    </row>
    <row r="13" spans="1:4">
      <c r="A13" s="7">
        <f>+A12+0.0001</f>
        <v>1.0201</v>
      </c>
      <c r="B13" s="8" t="e">
        <f>+VLOOKUP(A13,'metrado final'!#REF!,2)</f>
        <v>#REF!</v>
      </c>
      <c r="C13" s="9" t="e">
        <f>+VLOOKUP(A13,'metrado final'!#REF!,3)</f>
        <v>#REF!</v>
      </c>
      <c r="D13" s="24" t="e">
        <f>+VLOOKUP(A13,'metrado final'!#REF!,4)</f>
        <v>#REF!</v>
      </c>
    </row>
    <row r="14" spans="1:4">
      <c r="A14" s="7">
        <f t="shared" ref="A14:A16" si="1">+A13+0.0001</f>
        <v>1.0202</v>
      </c>
      <c r="B14" s="8" t="e">
        <f>+VLOOKUP(A14,'metrado final'!#REF!,2)</f>
        <v>#REF!</v>
      </c>
      <c r="C14" s="9" t="e">
        <f>+VLOOKUP(A14,'metrado final'!#REF!,3)</f>
        <v>#REF!</v>
      </c>
      <c r="D14" s="24" t="e">
        <f>+VLOOKUP(A14,'metrado final'!#REF!,4)</f>
        <v>#REF!</v>
      </c>
    </row>
    <row r="15" spans="1:4">
      <c r="A15" s="7">
        <f t="shared" si="1"/>
        <v>1.0203</v>
      </c>
      <c r="B15" s="8" t="e">
        <f>+VLOOKUP(A15,'metrado final'!#REF!,2)</f>
        <v>#REF!</v>
      </c>
      <c r="C15" s="9" t="e">
        <f>+VLOOKUP(A15,'metrado final'!#REF!,3)</f>
        <v>#REF!</v>
      </c>
      <c r="D15" s="24" t="e">
        <f>+VLOOKUP(A15,'metrado final'!#REF!,4)</f>
        <v>#REF!</v>
      </c>
    </row>
    <row r="16" spans="1:4">
      <c r="A16" s="7">
        <f t="shared" si="1"/>
        <v>1.0204</v>
      </c>
      <c r="B16" s="8" t="e">
        <f>+VLOOKUP(A16,'metrado final'!#REF!,2)</f>
        <v>#REF!</v>
      </c>
      <c r="C16" s="9" t="e">
        <f>+VLOOKUP(A16,'metrado final'!#REF!,3)</f>
        <v>#REF!</v>
      </c>
      <c r="D16" s="24" t="e">
        <f>+VLOOKUP(A16,'metrado final'!#REF!,4)</f>
        <v>#REF!</v>
      </c>
    </row>
    <row r="17" spans="1:4">
      <c r="A17" s="5">
        <f>+A12+0.01</f>
        <v>1.03</v>
      </c>
      <c r="B17" s="6" t="e">
        <f>+VLOOKUP(A17,'metrado final'!#REF!,2)</f>
        <v>#REF!</v>
      </c>
      <c r="C17" s="9"/>
      <c r="D17" s="25"/>
    </row>
    <row r="18" spans="1:4">
      <c r="A18" s="7">
        <f>+A17+0.0001</f>
        <v>1.0301</v>
      </c>
      <c r="B18" s="8" t="e">
        <f>+VLOOKUP(A18,'metrado final'!#REF!,2)</f>
        <v>#REF!</v>
      </c>
      <c r="C18" s="9" t="e">
        <f>+VLOOKUP(A18,'metrado final'!#REF!,3)</f>
        <v>#REF!</v>
      </c>
      <c r="D18" s="24" t="e">
        <f>+VLOOKUP(A18,'metrado final'!#REF!,4)</f>
        <v>#REF!</v>
      </c>
    </row>
    <row r="19" spans="1:4">
      <c r="A19" s="7">
        <f t="shared" ref="A19:A22" si="2">+A18+0.0001</f>
        <v>1.0302</v>
      </c>
      <c r="B19" s="8" t="e">
        <f>+VLOOKUP(A19,'metrado final'!#REF!,2)</f>
        <v>#REF!</v>
      </c>
      <c r="C19" s="9" t="e">
        <f>+VLOOKUP(A19,'metrado final'!#REF!,3)</f>
        <v>#REF!</v>
      </c>
      <c r="D19" s="24" t="e">
        <f>+VLOOKUP(A19,'metrado final'!#REF!,4)</f>
        <v>#REF!</v>
      </c>
    </row>
    <row r="20" spans="1:4">
      <c r="A20" s="7">
        <f t="shared" si="2"/>
        <v>1.0303</v>
      </c>
      <c r="B20" s="8" t="e">
        <f>+VLOOKUP(A20,'metrado final'!#REF!,2)</f>
        <v>#REF!</v>
      </c>
      <c r="C20" s="9" t="e">
        <f>+VLOOKUP(A20,'metrado final'!#REF!,3)</f>
        <v>#REF!</v>
      </c>
      <c r="D20" s="24" t="e">
        <f>+VLOOKUP(A20,'metrado final'!#REF!,4)</f>
        <v>#REF!</v>
      </c>
    </row>
    <row r="21" spans="1:4">
      <c r="A21" s="7">
        <f t="shared" si="2"/>
        <v>1.0304</v>
      </c>
      <c r="B21" s="8" t="e">
        <f>+VLOOKUP(A21,'metrado final'!#REF!,2)</f>
        <v>#REF!</v>
      </c>
      <c r="C21" s="9" t="e">
        <f>+VLOOKUP(A21,'metrado final'!#REF!,3)</f>
        <v>#REF!</v>
      </c>
      <c r="D21" s="24" t="e">
        <f>+VLOOKUP(A21,'metrado final'!#REF!,4)</f>
        <v>#REF!</v>
      </c>
    </row>
    <row r="22" spans="1:4">
      <c r="A22" s="7">
        <f t="shared" si="2"/>
        <v>1.0305</v>
      </c>
      <c r="B22" s="8" t="e">
        <f>+VLOOKUP(A22,'metrado final'!#REF!,2)</f>
        <v>#REF!</v>
      </c>
      <c r="C22" s="9" t="e">
        <f>+VLOOKUP(A22,'metrado final'!#REF!,3)</f>
        <v>#REF!</v>
      </c>
      <c r="D22" s="24" t="e">
        <f>+VLOOKUP(A22,'metrado final'!#REF!,4)</f>
        <v>#REF!</v>
      </c>
    </row>
    <row r="23" spans="1:4">
      <c r="A23" s="5">
        <f>+A17+0.01</f>
        <v>1.04</v>
      </c>
      <c r="B23" s="6" t="e">
        <f>+VLOOKUP(A23,'metrado final'!#REF!,2)</f>
        <v>#REF!</v>
      </c>
      <c r="C23" s="9"/>
      <c r="D23" s="24"/>
    </row>
    <row r="24" spans="1:4">
      <c r="A24" s="7">
        <f>+A23+0.0001</f>
        <v>1.0401</v>
      </c>
      <c r="B24" s="8" t="e">
        <f>+VLOOKUP(A24,'metrado final'!#REF!,2)</f>
        <v>#REF!</v>
      </c>
      <c r="C24" s="9" t="e">
        <f>+VLOOKUP(A24,'metrado final'!#REF!,3)</f>
        <v>#REF!</v>
      </c>
      <c r="D24" s="24" t="e">
        <f>+VLOOKUP(A24,'metrado final'!#REF!,4)</f>
        <v>#REF!</v>
      </c>
    </row>
    <row r="25" spans="1:4">
      <c r="A25" s="7">
        <f>+A24+0.0001</f>
        <v>1.0402</v>
      </c>
      <c r="B25" s="8" t="e">
        <f>+VLOOKUP(A25,'metrado final'!#REF!,2)</f>
        <v>#REF!</v>
      </c>
      <c r="C25" s="9" t="e">
        <f>+VLOOKUP(A25,'metrado final'!#REF!,3)</f>
        <v>#REF!</v>
      </c>
      <c r="D25" s="24" t="e">
        <f>+VLOOKUP(A25,'metrado final'!#REF!,4)</f>
        <v>#REF!</v>
      </c>
    </row>
    <row r="26" spans="1:4">
      <c r="A26" s="7">
        <f t="shared" ref="A26:A27" si="3">+A25+0.0001</f>
        <v>1.0403</v>
      </c>
      <c r="B26" s="8" t="e">
        <f>+VLOOKUP(A26,'metrado final'!#REF!,2)</f>
        <v>#REF!</v>
      </c>
      <c r="C26" s="9" t="e">
        <f>+VLOOKUP(A26,'metrado final'!#REF!,3)</f>
        <v>#REF!</v>
      </c>
      <c r="D26" s="24" t="e">
        <f>+VLOOKUP(A26,'metrado final'!#REF!,4)</f>
        <v>#REF!</v>
      </c>
    </row>
    <row r="27" spans="1:4">
      <c r="A27" s="7">
        <f t="shared" si="3"/>
        <v>1.0404</v>
      </c>
      <c r="B27" s="8" t="e">
        <f>+VLOOKUP(A27,'metrado final'!#REF!,2)</f>
        <v>#REF!</v>
      </c>
      <c r="C27" s="9" t="e">
        <f>+VLOOKUP(A27,'metrado final'!#REF!,3)</f>
        <v>#REF!</v>
      </c>
      <c r="D27" s="24" t="e">
        <f>+VLOOKUP(A27,'metrado final'!#REF!,4)</f>
        <v>#REF!</v>
      </c>
    </row>
    <row r="28" spans="1:4">
      <c r="A28" s="5">
        <f>+A23+0.01</f>
        <v>1.05</v>
      </c>
      <c r="B28" s="6" t="e">
        <f>+VLOOKUP(A28,'metrado final'!#REF!,2)</f>
        <v>#REF!</v>
      </c>
      <c r="C28" s="9"/>
      <c r="D28" s="24"/>
    </row>
    <row r="29" spans="1:4">
      <c r="A29" s="7">
        <f>+A28+0.0001</f>
        <v>1.0501</v>
      </c>
      <c r="B29" s="8" t="e">
        <f>+VLOOKUP(A29,'metrado final'!#REF!,2)</f>
        <v>#REF!</v>
      </c>
      <c r="C29" s="9" t="e">
        <f>+VLOOKUP(A29,'metrado final'!#REF!,3)</f>
        <v>#REF!</v>
      </c>
      <c r="D29" s="24" t="e">
        <f>+VLOOKUP(A29,'metrado final'!#REF!,4)</f>
        <v>#REF!</v>
      </c>
    </row>
    <row r="30" spans="1:4">
      <c r="A30" s="5">
        <f>+A28+0.01</f>
        <v>1.06</v>
      </c>
      <c r="B30" s="6" t="e">
        <f>+VLOOKUP(A30,'metrado final'!#REF!,2)</f>
        <v>#REF!</v>
      </c>
      <c r="C30" s="9"/>
      <c r="D30" s="24"/>
    </row>
    <row r="31" spans="1:4">
      <c r="A31" s="7">
        <f t="shared" ref="A31:A33" si="4">+A30+0.0001</f>
        <v>1.0601</v>
      </c>
      <c r="B31" s="8" t="e">
        <f>+VLOOKUP(A31,'metrado final'!#REF!,2)</f>
        <v>#REF!</v>
      </c>
      <c r="C31" s="9" t="e">
        <f>+VLOOKUP(A31,'metrado final'!#REF!,3)</f>
        <v>#REF!</v>
      </c>
      <c r="D31" s="24" t="e">
        <f>+VLOOKUP(A31,'metrado final'!#REF!,4)</f>
        <v>#REF!</v>
      </c>
    </row>
    <row r="32" spans="1:4">
      <c r="A32" s="7">
        <f t="shared" si="4"/>
        <v>1.0602</v>
      </c>
      <c r="B32" s="8" t="e">
        <f>+VLOOKUP(A32,'metrado final'!#REF!,2)</f>
        <v>#REF!</v>
      </c>
      <c r="C32" s="9" t="e">
        <f>+VLOOKUP(A32,'metrado final'!#REF!,3)</f>
        <v>#REF!</v>
      </c>
      <c r="D32" s="24" t="e">
        <f>+VLOOKUP(A32,'metrado final'!#REF!,4)</f>
        <v>#REF!</v>
      </c>
    </row>
    <row r="33" spans="1:4">
      <c r="A33" s="7">
        <f t="shared" si="4"/>
        <v>1.0603</v>
      </c>
      <c r="B33" s="8" t="e">
        <f>+VLOOKUP(A33,'metrado final'!#REF!,2)</f>
        <v>#REF!</v>
      </c>
      <c r="C33" s="9" t="e">
        <f>+VLOOKUP(A33,'metrado final'!#REF!,3)</f>
        <v>#REF!</v>
      </c>
      <c r="D33" s="24" t="e">
        <f>+VLOOKUP(A33,'metrado final'!#REF!,4)</f>
        <v>#REF!</v>
      </c>
    </row>
    <row r="34" spans="1:4">
      <c r="A34" s="5">
        <f>+A30+0.01</f>
        <v>1.07</v>
      </c>
      <c r="B34" s="6" t="e">
        <f>+VLOOKUP(A34,'metrado final'!#REF!,2)</f>
        <v>#REF!</v>
      </c>
      <c r="C34" s="9"/>
      <c r="D34" s="24"/>
    </row>
    <row r="35" spans="1:4">
      <c r="A35" s="7">
        <f t="shared" ref="A35:A39" si="5">+A34+0.0001</f>
        <v>1.0701000000000001</v>
      </c>
      <c r="B35" s="8" t="e">
        <f>+VLOOKUP(A35,'metrado final'!#REF!,2)</f>
        <v>#REF!</v>
      </c>
      <c r="C35" s="9" t="e">
        <f>+VLOOKUP(A35,'metrado final'!#REF!,3)</f>
        <v>#REF!</v>
      </c>
      <c r="D35" s="24" t="e">
        <f>+VLOOKUP(A35,'metrado final'!#REF!,4)</f>
        <v>#REF!</v>
      </c>
    </row>
    <row r="36" spans="1:4">
      <c r="A36" s="7">
        <f t="shared" si="5"/>
        <v>1.0702</v>
      </c>
      <c r="B36" s="8" t="e">
        <f>+VLOOKUP(A36,'metrado final'!#REF!,2)</f>
        <v>#REF!</v>
      </c>
      <c r="C36" s="9" t="e">
        <f>+VLOOKUP(A36,'metrado final'!#REF!,3)</f>
        <v>#REF!</v>
      </c>
      <c r="D36" s="24" t="e">
        <f>+VLOOKUP(A36,'metrado final'!#REF!,4)</f>
        <v>#REF!</v>
      </c>
    </row>
    <row r="37" spans="1:4">
      <c r="A37" s="5">
        <f>+A34+0.01</f>
        <v>1.08</v>
      </c>
      <c r="B37" s="6" t="e">
        <f>+VLOOKUP(A37,'metrado final'!#REF!,2)</f>
        <v>#REF!</v>
      </c>
      <c r="C37" s="9"/>
      <c r="D37" s="24"/>
    </row>
    <row r="38" spans="1:4">
      <c r="A38" s="7">
        <f t="shared" si="5"/>
        <v>1.0801000000000001</v>
      </c>
      <c r="B38" s="8" t="e">
        <f>+VLOOKUP(A38,'metrado final'!#REF!,2)</f>
        <v>#REF!</v>
      </c>
      <c r="C38" s="9" t="e">
        <f>+VLOOKUP(A38,'metrado final'!#REF!,3)</f>
        <v>#REF!</v>
      </c>
      <c r="D38" s="24" t="e">
        <f>+VLOOKUP(A38,'metrado final'!#REF!,4)</f>
        <v>#REF!</v>
      </c>
    </row>
    <row r="39" spans="1:4">
      <c r="A39" s="7">
        <f t="shared" si="5"/>
        <v>1.0802</v>
      </c>
      <c r="B39" s="8" t="e">
        <f>+VLOOKUP(A39,'metrado final'!#REF!,2)</f>
        <v>#REF!</v>
      </c>
      <c r="C39" s="9" t="e">
        <f>+VLOOKUP(A39,'metrado final'!#REF!,3)</f>
        <v>#REF!</v>
      </c>
      <c r="D39" s="24" t="e">
        <f>+VLOOKUP(A39,'metrado final'!#REF!,4)</f>
        <v>#REF!</v>
      </c>
    </row>
    <row r="40" spans="1:4">
      <c r="A40" s="2">
        <f>+A8+1</f>
        <v>2</v>
      </c>
      <c r="B40" s="3" t="e">
        <f>+VLOOKUP(A40,'metrado final'!#REF!,2)</f>
        <v>#REF!</v>
      </c>
      <c r="C40" s="9"/>
      <c r="D40" s="24"/>
    </row>
    <row r="41" spans="1:4">
      <c r="A41" s="5">
        <f>+A40+0.01</f>
        <v>2.0099999999999998</v>
      </c>
      <c r="B41" s="6" t="e">
        <f>+VLOOKUP(A41,'metrado final'!#REF!,2)</f>
        <v>#REF!</v>
      </c>
      <c r="C41" s="9"/>
      <c r="D41" s="24"/>
    </row>
    <row r="42" spans="1:4">
      <c r="A42" s="7">
        <f>+A41+0.0001</f>
        <v>2.0101</v>
      </c>
      <c r="B42" s="8" t="e">
        <f>+VLOOKUP(A42,'metrado final'!#REF!,2)</f>
        <v>#REF!</v>
      </c>
      <c r="C42" s="9" t="e">
        <f>+VLOOKUP(A42,'metrado final'!#REF!,3)</f>
        <v>#REF!</v>
      </c>
      <c r="D42" s="24" t="e">
        <f>+VLOOKUP(A42,'metrado final'!#REF!,4)</f>
        <v>#REF!</v>
      </c>
    </row>
    <row r="43" spans="1:4">
      <c r="A43" s="7">
        <f t="shared" ref="A43:A44" si="6">+A42+0.0001</f>
        <v>2.0102000000000002</v>
      </c>
      <c r="B43" s="8" t="e">
        <f>+VLOOKUP(A43,'metrado final'!#REF!,2)</f>
        <v>#REF!</v>
      </c>
      <c r="C43" s="9" t="e">
        <f>+VLOOKUP(A43,'metrado final'!#REF!,3)</f>
        <v>#REF!</v>
      </c>
      <c r="D43" s="24" t="e">
        <f>+VLOOKUP(A43,'metrado final'!#REF!,4)</f>
        <v>#REF!</v>
      </c>
    </row>
    <row r="44" spans="1:4">
      <c r="A44" s="7">
        <f t="shared" si="6"/>
        <v>2.0103000000000004</v>
      </c>
      <c r="B44" s="8" t="e">
        <f>+VLOOKUP(A44,'metrado final'!#REF!,2)</f>
        <v>#REF!</v>
      </c>
      <c r="C44" s="9" t="e">
        <f>+VLOOKUP(A44,'metrado final'!#REF!,3)</f>
        <v>#REF!</v>
      </c>
      <c r="D44" s="24" t="e">
        <f>+VLOOKUP(A44,'metrado final'!#REF!,4)</f>
        <v>#REF!</v>
      </c>
    </row>
    <row r="45" spans="1:4">
      <c r="A45" s="5">
        <f>+A41+0.01</f>
        <v>2.0199999999999996</v>
      </c>
      <c r="B45" s="6" t="e">
        <f>+VLOOKUP(A45,'metrado final'!#REF!,2)</f>
        <v>#REF!</v>
      </c>
      <c r="C45" s="9"/>
      <c r="D45" s="24"/>
    </row>
    <row r="46" spans="1:4">
      <c r="A46" s="7">
        <f>+A45+0.0001</f>
        <v>2.0200999999999998</v>
      </c>
      <c r="B46" s="8" t="e">
        <f>+VLOOKUP(A46,'metrado final'!#REF!,2)</f>
        <v>#REF!</v>
      </c>
      <c r="C46" s="9" t="e">
        <f>+VLOOKUP(A46,'metrado final'!#REF!,3)</f>
        <v>#REF!</v>
      </c>
      <c r="D46" s="24" t="e">
        <f>+VLOOKUP(A46,'metrado final'!#REF!,4)</f>
        <v>#REF!</v>
      </c>
    </row>
    <row r="47" spans="1:4">
      <c r="A47" s="7">
        <f>+A46+0.0001</f>
        <v>2.0202</v>
      </c>
      <c r="B47" s="8" t="e">
        <f>+VLOOKUP(A47,'metrado final'!#REF!,2)</f>
        <v>#REF!</v>
      </c>
      <c r="C47" s="9" t="e">
        <f>+VLOOKUP(A47,'metrado final'!#REF!,3)</f>
        <v>#REF!</v>
      </c>
      <c r="D47" s="24" t="e">
        <f>+VLOOKUP(A47,'metrado final'!#REF!,4)</f>
        <v>#REF!</v>
      </c>
    </row>
    <row r="48" spans="1:4">
      <c r="A48" s="7">
        <f t="shared" ref="A48" si="7">+A47+0.0001</f>
        <v>2.0203000000000002</v>
      </c>
      <c r="B48" s="8" t="e">
        <f>+VLOOKUP(A48,'metrado final'!#REF!,2)</f>
        <v>#REF!</v>
      </c>
      <c r="C48" s="9" t="e">
        <f>+VLOOKUP(A48,'metrado final'!#REF!,3)</f>
        <v>#REF!</v>
      </c>
      <c r="D48" s="24" t="e">
        <f>+VLOOKUP(A48,'metrado final'!#REF!,4)</f>
        <v>#REF!</v>
      </c>
    </row>
    <row r="49" spans="1:4">
      <c r="A49" s="5">
        <f>+A45+0.01</f>
        <v>2.0299999999999994</v>
      </c>
      <c r="B49" s="6" t="e">
        <f>+VLOOKUP(A49,'metrado final'!#REF!,2)</f>
        <v>#REF!</v>
      </c>
      <c r="C49" s="9"/>
      <c r="D49" s="24"/>
    </row>
    <row r="50" spans="1:4">
      <c r="A50" s="7">
        <f>+A49+0.0001</f>
        <v>2.0300999999999996</v>
      </c>
      <c r="B50" s="8" t="e">
        <f>+VLOOKUP(A50,'metrado final'!#REF!,2)</f>
        <v>#REF!</v>
      </c>
      <c r="C50" s="9" t="e">
        <f>+VLOOKUP(A50,'metrado final'!#REF!,3)</f>
        <v>#REF!</v>
      </c>
      <c r="D50" s="24" t="e">
        <f>+VLOOKUP(A50,'metrado final'!#REF!,4)</f>
        <v>#REF!</v>
      </c>
    </row>
    <row r="51" spans="1:4">
      <c r="A51" s="5">
        <f>+A49+0.01</f>
        <v>2.0399999999999991</v>
      </c>
      <c r="B51" s="6" t="e">
        <f>+VLOOKUP(A51,'metrado final'!#REF!,2)</f>
        <v>#REF!</v>
      </c>
      <c r="C51" s="9"/>
      <c r="D51" s="24"/>
    </row>
    <row r="52" spans="1:4">
      <c r="A52" s="7">
        <f t="shared" ref="A52:A57" si="8">+A51+0.0001</f>
        <v>2.0400999999999994</v>
      </c>
      <c r="B52" s="8" t="e">
        <f>+VLOOKUP(A52,'metrado final'!#REF!,2)</f>
        <v>#REF!</v>
      </c>
      <c r="C52" s="9" t="e">
        <f>+VLOOKUP(A52,'metrado final'!#REF!,3)</f>
        <v>#REF!</v>
      </c>
      <c r="D52" s="24" t="e">
        <f>+VLOOKUP(A52,'metrado final'!#REF!,4)</f>
        <v>#REF!</v>
      </c>
    </row>
    <row r="53" spans="1:4">
      <c r="A53" s="7">
        <f t="shared" si="8"/>
        <v>2.0401999999999996</v>
      </c>
      <c r="B53" s="8" t="e">
        <f>+VLOOKUP(A53,'metrado final'!#REF!,2)</f>
        <v>#REF!</v>
      </c>
      <c r="C53" s="9" t="e">
        <f>+VLOOKUP(A53,'metrado final'!#REF!,3)</f>
        <v>#REF!</v>
      </c>
      <c r="D53" s="24" t="e">
        <f>+VLOOKUP(A53,'metrado final'!#REF!,4)</f>
        <v>#REF!</v>
      </c>
    </row>
    <row r="54" spans="1:4">
      <c r="A54" s="7">
        <f t="shared" si="8"/>
        <v>2.0402999999999998</v>
      </c>
      <c r="B54" s="8" t="e">
        <f>+VLOOKUP(A54,'metrado final'!#REF!,2)</f>
        <v>#REF!</v>
      </c>
      <c r="C54" s="9" t="e">
        <f>+VLOOKUP(A54,'metrado final'!#REF!,3)</f>
        <v>#REF!</v>
      </c>
      <c r="D54" s="24" t="e">
        <f>+VLOOKUP(A54,'metrado final'!#REF!,4)</f>
        <v>#REF!</v>
      </c>
    </row>
    <row r="55" spans="1:4">
      <c r="A55" s="7">
        <f t="shared" si="8"/>
        <v>2.0404</v>
      </c>
      <c r="B55" s="8" t="e">
        <f>+VLOOKUP(A55,'metrado final'!#REF!,2)</f>
        <v>#REF!</v>
      </c>
      <c r="C55" s="9" t="e">
        <f>+VLOOKUP(A55,'metrado final'!#REF!,3)</f>
        <v>#REF!</v>
      </c>
      <c r="D55" s="24" t="e">
        <f>+VLOOKUP(A55,'metrado final'!#REF!,4)</f>
        <v>#REF!</v>
      </c>
    </row>
    <row r="56" spans="1:4">
      <c r="A56" s="7">
        <f t="shared" si="8"/>
        <v>2.0405000000000002</v>
      </c>
      <c r="B56" s="8" t="e">
        <f>+VLOOKUP(A56,'metrado final'!#REF!,2)</f>
        <v>#REF!</v>
      </c>
      <c r="C56" s="9" t="e">
        <f>+VLOOKUP(A56,'metrado final'!#REF!,3)</f>
        <v>#REF!</v>
      </c>
      <c r="D56" s="24" t="e">
        <f>+VLOOKUP(A56,'metrado final'!#REF!,4)</f>
        <v>#REF!</v>
      </c>
    </row>
    <row r="57" spans="1:4">
      <c r="A57" s="7">
        <f t="shared" si="8"/>
        <v>2.0406000000000004</v>
      </c>
      <c r="B57" s="8" t="e">
        <f>+VLOOKUP(A57,'metrado final'!#REF!,2)</f>
        <v>#REF!</v>
      </c>
      <c r="C57" s="9" t="e">
        <f>+VLOOKUP(A57,'metrado final'!#REF!,3)</f>
        <v>#REF!</v>
      </c>
      <c r="D57" s="24" t="e">
        <f>+VLOOKUP(A57,'metrado final'!#REF!,4)</f>
        <v>#REF!</v>
      </c>
    </row>
    <row r="58" spans="1:4">
      <c r="A58" s="2">
        <f>+A40+1</f>
        <v>3</v>
      </c>
      <c r="B58" s="3" t="e">
        <f>+VLOOKUP(A58,'metrado final'!#REF!,2)</f>
        <v>#REF!</v>
      </c>
      <c r="C58" s="9"/>
      <c r="D58" s="24"/>
    </row>
    <row r="59" spans="1:4">
      <c r="A59" s="5">
        <f>+A58+0.01</f>
        <v>3.01</v>
      </c>
      <c r="B59" s="6" t="e">
        <f>+VLOOKUP(A59,'metrado final'!#REF!,2)</f>
        <v>#REF!</v>
      </c>
      <c r="C59" s="9"/>
      <c r="D59" s="24"/>
    </row>
    <row r="60" spans="1:4">
      <c r="A60" s="7">
        <f>+A59+0.0001</f>
        <v>3.0101</v>
      </c>
      <c r="B60" s="8" t="e">
        <f>+VLOOKUP(A60,'metrado final'!#REF!,2)</f>
        <v>#REF!</v>
      </c>
      <c r="C60" s="9" t="e">
        <f>+VLOOKUP(A60,'metrado final'!#REF!,3)</f>
        <v>#REF!</v>
      </c>
      <c r="D60" s="24" t="e">
        <f>+VLOOKUP(A60,'metrado final'!#REF!,4)</f>
        <v>#REF!</v>
      </c>
    </row>
    <row r="61" spans="1:4">
      <c r="A61" s="5">
        <f>+A59+0.01</f>
        <v>3.0199999999999996</v>
      </c>
      <c r="B61" s="6" t="e">
        <f>+VLOOKUP(A61,'metrado final'!#REF!,2)</f>
        <v>#REF!</v>
      </c>
      <c r="C61" s="9"/>
      <c r="D61" s="24"/>
    </row>
    <row r="62" spans="1:4">
      <c r="A62" s="7">
        <f>+A61+0.0001</f>
        <v>3.0200999999999998</v>
      </c>
      <c r="B62" s="8" t="e">
        <f>+VLOOKUP(A62,'metrado final'!#REF!,2)</f>
        <v>#REF!</v>
      </c>
      <c r="C62" s="9" t="e">
        <f>+VLOOKUP(A62,'metrado final'!#REF!,3)</f>
        <v>#REF!</v>
      </c>
      <c r="D62" s="24" t="e">
        <f>+VLOOKUP(A62,'metrado final'!#REF!,4)</f>
        <v>#REF!</v>
      </c>
    </row>
    <row r="63" spans="1:4">
      <c r="A63" s="7">
        <f>+A62+0.0001</f>
        <v>3.0202</v>
      </c>
      <c r="B63" s="8" t="e">
        <f>+VLOOKUP(A63,'metrado final'!#REF!,2)</f>
        <v>#REF!</v>
      </c>
      <c r="C63" s="9" t="e">
        <f>+VLOOKUP(A63,'metrado final'!#REF!,3)</f>
        <v>#REF!</v>
      </c>
      <c r="D63" s="24" t="e">
        <f>+VLOOKUP(A63,'metrado final'!#REF!,4)</f>
        <v>#REF!</v>
      </c>
    </row>
    <row r="64" spans="1:4">
      <c r="A64" s="7">
        <f t="shared" ref="A64" si="9">+A63+0.0001</f>
        <v>3.0203000000000002</v>
      </c>
      <c r="B64" s="8" t="e">
        <f>+VLOOKUP(A64,'metrado final'!#REF!,2)</f>
        <v>#REF!</v>
      </c>
      <c r="C64" s="9" t="e">
        <f>+VLOOKUP(A64,'metrado final'!#REF!,3)</f>
        <v>#REF!</v>
      </c>
      <c r="D64" s="24" t="e">
        <f>+VLOOKUP(A64,'metrado final'!#REF!,4)</f>
        <v>#REF!</v>
      </c>
    </row>
    <row r="65" spans="1:4">
      <c r="A65" s="5">
        <f>+A61+0.01</f>
        <v>3.0299999999999994</v>
      </c>
      <c r="B65" s="6" t="e">
        <f>+VLOOKUP(A65,'metrado final'!#REF!,2)</f>
        <v>#REF!</v>
      </c>
      <c r="C65" s="9"/>
      <c r="D65" s="24"/>
    </row>
    <row r="66" spans="1:4">
      <c r="A66" s="7">
        <f>+A65+0.0001</f>
        <v>3.0300999999999996</v>
      </c>
      <c r="B66" s="8" t="e">
        <f>+VLOOKUP(A66,'metrado final'!#REF!,2)</f>
        <v>#REF!</v>
      </c>
      <c r="C66" s="9" t="e">
        <f>+VLOOKUP(A66,'metrado final'!#REF!,3)</f>
        <v>#REF!</v>
      </c>
      <c r="D66" s="24" t="e">
        <f>+VLOOKUP(A66,'metrado final'!#REF!,4)</f>
        <v>#REF!</v>
      </c>
    </row>
    <row r="67" spans="1:4">
      <c r="A67" s="7">
        <f t="shared" ref="A67:A71" si="10">+A66+0.0001</f>
        <v>3.0301999999999998</v>
      </c>
      <c r="B67" s="8" t="e">
        <f>+VLOOKUP(A67,'metrado final'!#REF!,2)</f>
        <v>#REF!</v>
      </c>
      <c r="C67" s="9" t="e">
        <f>+VLOOKUP(A67,'metrado final'!#REF!,3)</f>
        <v>#REF!</v>
      </c>
      <c r="D67" s="24" t="e">
        <f>+VLOOKUP(A67,'metrado final'!#REF!,4)</f>
        <v>#REF!</v>
      </c>
    </row>
    <row r="68" spans="1:4">
      <c r="A68" s="7">
        <f t="shared" si="10"/>
        <v>3.0303</v>
      </c>
      <c r="B68" s="8" t="e">
        <f>+VLOOKUP(A68,'metrado final'!#REF!,2)</f>
        <v>#REF!</v>
      </c>
      <c r="C68" s="9" t="e">
        <f>+VLOOKUP(A68,'metrado final'!#REF!,3)</f>
        <v>#REF!</v>
      </c>
      <c r="D68" s="24" t="e">
        <f>+VLOOKUP(A68,'metrado final'!#REF!,4)</f>
        <v>#REF!</v>
      </c>
    </row>
    <row r="69" spans="1:4">
      <c r="A69" s="7">
        <f t="shared" si="10"/>
        <v>3.0304000000000002</v>
      </c>
      <c r="B69" s="8" t="e">
        <f>+VLOOKUP(A69,'metrado final'!#REF!,2)</f>
        <v>#REF!</v>
      </c>
      <c r="C69" s="9" t="e">
        <f>+VLOOKUP(A69,'metrado final'!#REF!,3)</f>
        <v>#REF!</v>
      </c>
      <c r="D69" s="24" t="e">
        <f>+VLOOKUP(A69,'metrado final'!#REF!,4)</f>
        <v>#REF!</v>
      </c>
    </row>
    <row r="70" spans="1:4">
      <c r="A70" s="7">
        <f t="shared" si="10"/>
        <v>3.0305000000000004</v>
      </c>
      <c r="B70" s="8" t="e">
        <f>+VLOOKUP(A70,'metrado final'!#REF!,2)</f>
        <v>#REF!</v>
      </c>
      <c r="C70" s="9" t="e">
        <f>+VLOOKUP(A70,'metrado final'!#REF!,3)</f>
        <v>#REF!</v>
      </c>
      <c r="D70" s="24" t="e">
        <f>+VLOOKUP(A70,'metrado final'!#REF!,4)</f>
        <v>#REF!</v>
      </c>
    </row>
    <row r="71" spans="1:4">
      <c r="A71" s="7">
        <f t="shared" si="10"/>
        <v>3.0306000000000006</v>
      </c>
      <c r="B71" s="8" t="e">
        <f>+VLOOKUP(A71,'metrado final'!#REF!,2)</f>
        <v>#REF!</v>
      </c>
      <c r="C71" s="9" t="e">
        <f>+VLOOKUP(A71,'metrado final'!#REF!,3)</f>
        <v>#REF!</v>
      </c>
      <c r="D71" s="24" t="e">
        <f>+VLOOKUP(A71,'metrado final'!#REF!,4)</f>
        <v>#REF!</v>
      </c>
    </row>
    <row r="72" spans="1:4">
      <c r="A72" s="7">
        <f t="shared" ref="A72" si="11">+A71+0.0001</f>
        <v>3.0307000000000008</v>
      </c>
      <c r="B72" s="8" t="e">
        <f>+VLOOKUP(A72,'metrado final'!#REF!,2)</f>
        <v>#REF!</v>
      </c>
      <c r="C72" s="9" t="e">
        <f>+VLOOKUP(A72,'metrado final'!#REF!,3)</f>
        <v>#REF!</v>
      </c>
      <c r="D72" s="24" t="e">
        <f>+VLOOKUP(A72,'metrado final'!#REF!,4)</f>
        <v>#REF!</v>
      </c>
    </row>
    <row r="77" spans="1:4">
      <c r="C77" s="10"/>
    </row>
    <row r="81" spans="2:4">
      <c r="C81" s="15"/>
    </row>
    <row r="82" spans="2:4">
      <c r="C82" s="15"/>
    </row>
    <row r="83" spans="2:4">
      <c r="B83" s="10"/>
      <c r="C83" s="15"/>
      <c r="D83" s="10"/>
    </row>
    <row r="84" spans="2:4">
      <c r="B84" s="10"/>
      <c r="C84" s="10"/>
    </row>
    <row r="85" spans="2:4">
      <c r="B85" s="10"/>
      <c r="C85" s="10"/>
    </row>
    <row r="86" spans="2:4">
      <c r="B86" s="11"/>
      <c r="C86" s="10"/>
    </row>
    <row r="87" spans="2:4">
      <c r="B87" s="11"/>
      <c r="C87" s="10"/>
    </row>
    <row r="88" spans="2:4" ht="15.6">
      <c r="B88" s="12"/>
      <c r="C88" s="10"/>
    </row>
    <row r="89" spans="2:4">
      <c r="D89" s="14"/>
    </row>
    <row r="90" spans="2:4">
      <c r="C90" s="10"/>
      <c r="D90" s="13"/>
    </row>
    <row r="91" spans="2:4">
      <c r="C91" s="10"/>
    </row>
  </sheetData>
  <mergeCells count="6">
    <mergeCell ref="B6:D6"/>
    <mergeCell ref="A1:D1"/>
    <mergeCell ref="B3:C3"/>
    <mergeCell ref="D3:D5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119" scale="35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C2:U1417"/>
  <sheetViews>
    <sheetView showGridLines="0" view="pageBreakPreview" zoomScale="120" zoomScaleNormal="100" zoomScaleSheetLayoutView="120" workbookViewId="0">
      <selection activeCell="D5" sqref="D5:I5"/>
    </sheetView>
  </sheetViews>
  <sheetFormatPr baseColWidth="10" defaultColWidth="11.44140625" defaultRowHeight="13.8"/>
  <cols>
    <col min="1" max="1" width="11.44140625" style="114"/>
    <col min="2" max="2" width="2.6640625" style="114" customWidth="1"/>
    <col min="3" max="3" width="10.44140625" style="152" customWidth="1"/>
    <col min="4" max="4" width="58.88671875" style="114" customWidth="1"/>
    <col min="5" max="5" width="10.77734375" style="145" customWidth="1"/>
    <col min="6" max="6" width="10" style="149" customWidth="1"/>
    <col min="7" max="7" width="11" style="149" customWidth="1"/>
    <col min="8" max="8" width="12.77734375" style="149" customWidth="1"/>
    <col min="9" max="9" width="7.5546875" style="149" customWidth="1"/>
    <col min="10" max="10" width="11.6640625" style="149" customWidth="1"/>
    <col min="11" max="11" width="8.109375" style="114" customWidth="1"/>
    <col min="12" max="12" width="2.6640625" style="114" customWidth="1"/>
    <col min="13" max="13" width="13.21875" style="114" hidden="1" customWidth="1"/>
    <col min="14" max="14" width="0" style="114" hidden="1" customWidth="1"/>
    <col min="15" max="15" width="7" style="114" hidden="1" customWidth="1"/>
    <col min="16" max="17" width="0" style="114" hidden="1" customWidth="1"/>
    <col min="18" max="16384" width="11.44140625" style="114"/>
  </cols>
  <sheetData>
    <row r="2" spans="3:14" ht="14.4" thickBot="1"/>
    <row r="3" spans="3:14" ht="18">
      <c r="C3" s="316" t="s">
        <v>0</v>
      </c>
      <c r="D3" s="317"/>
      <c r="E3" s="317"/>
      <c r="F3" s="317"/>
      <c r="G3" s="317"/>
      <c r="H3" s="317"/>
      <c r="I3" s="317"/>
      <c r="J3" s="317"/>
      <c r="K3" s="318"/>
    </row>
    <row r="4" spans="3:14" ht="7.5" customHeight="1">
      <c r="C4" s="153"/>
      <c r="K4" s="119"/>
    </row>
    <row r="5" spans="3:14" ht="27" customHeight="1">
      <c r="C5" s="154" t="s">
        <v>1</v>
      </c>
      <c r="D5" s="321" t="str">
        <f>+RESUMEN!D4</f>
        <v>"MEJORAMIENTO DEL PARQUE VIRGEN DE LA CANDELARIA  DE CENTRO POBLADO VILLA EL SALVADOR DISTRITO DE VILLA EL SALVADOR DE LA PROVINCIA DE LIMA DEL DEPARTAMENTO DE LIMA"</v>
      </c>
      <c r="E5" s="321"/>
      <c r="F5" s="321"/>
      <c r="G5" s="321"/>
      <c r="H5" s="321"/>
      <c r="I5" s="321"/>
      <c r="J5" s="324"/>
      <c r="K5" s="325"/>
    </row>
    <row r="6" spans="3:14">
      <c r="C6" s="154" t="s">
        <v>16</v>
      </c>
      <c r="D6" s="322" t="s">
        <v>37</v>
      </c>
      <c r="E6" s="322"/>
      <c r="F6" s="322"/>
      <c r="G6" s="322"/>
      <c r="H6" s="322"/>
      <c r="I6" s="322"/>
      <c r="J6" s="324"/>
      <c r="K6" s="325"/>
    </row>
    <row r="7" spans="3:14" ht="14.4" thickBot="1">
      <c r="C7" s="155" t="s">
        <v>2</v>
      </c>
      <c r="D7" s="323" t="s">
        <v>511</v>
      </c>
      <c r="E7" s="323"/>
      <c r="F7" s="323"/>
      <c r="G7" s="323"/>
      <c r="H7" s="323"/>
      <c r="I7" s="323"/>
      <c r="J7" s="326"/>
      <c r="K7" s="327"/>
    </row>
    <row r="8" spans="3:14">
      <c r="C8" s="156"/>
      <c r="D8" s="319"/>
      <c r="E8" s="319"/>
      <c r="F8" s="319"/>
      <c r="G8" s="319"/>
      <c r="H8" s="319"/>
      <c r="I8" s="319"/>
      <c r="J8" s="319"/>
      <c r="K8" s="320"/>
    </row>
    <row r="9" spans="3:14">
      <c r="C9" s="190" t="s">
        <v>74</v>
      </c>
      <c r="D9" s="256" t="str">
        <f>VLOOKUP(C9,RESUMEN!C:F,2,FALSE)</f>
        <v>OBRAS PROVISIONALES, TRABAJOS PRELIMINARES, SEGURIDAD Y SALUD</v>
      </c>
      <c r="E9" s="132"/>
      <c r="F9" s="132"/>
      <c r="G9" s="132"/>
      <c r="H9" s="132"/>
      <c r="I9" s="132"/>
      <c r="J9" s="132"/>
      <c r="K9" s="113"/>
      <c r="M9" s="112"/>
      <c r="N9" s="143"/>
    </row>
    <row r="10" spans="3:14">
      <c r="C10" s="158">
        <f>+C9+0.01</f>
        <v>1.01</v>
      </c>
      <c r="D10" s="257" t="str">
        <f>VLOOKUP(C10,RESUMEN!C:F,2,FALSE)</f>
        <v>OBRAS PROVISIONALES</v>
      </c>
      <c r="E10" s="132"/>
      <c r="F10" s="132"/>
      <c r="G10" s="132"/>
      <c r="H10" s="132"/>
      <c r="I10" s="132"/>
      <c r="J10" s="132"/>
      <c r="K10" s="113"/>
      <c r="N10" s="128"/>
    </row>
    <row r="11" spans="3:14">
      <c r="C11" s="159">
        <f>+C10+0.0001</f>
        <v>1.0101</v>
      </c>
      <c r="D11" s="258" t="str">
        <f>VLOOKUP(C11,RESUMEN!C:F,2,FALSE)</f>
        <v>CARTEL DE IDENTIFICACION DE LA OBRA DE 4.80M x 3.60M</v>
      </c>
      <c r="E11" s="132"/>
      <c r="F11" s="132"/>
      <c r="G11" s="132"/>
      <c r="H11" s="132"/>
      <c r="I11" s="132"/>
      <c r="J11" s="132"/>
      <c r="K11" s="120"/>
      <c r="N11" s="128"/>
    </row>
    <row r="12" spans="3:14" ht="14.4" thickBot="1">
      <c r="C12" s="159"/>
      <c r="D12" s="115" t="s">
        <v>19</v>
      </c>
      <c r="E12" s="115" t="s">
        <v>13</v>
      </c>
      <c r="F12" s="116" t="s">
        <v>4</v>
      </c>
      <c r="G12" s="116" t="s">
        <v>5</v>
      </c>
      <c r="H12" s="116" t="s">
        <v>6</v>
      </c>
      <c r="I12" s="116" t="s">
        <v>11</v>
      </c>
      <c r="J12" s="116" t="s">
        <v>7</v>
      </c>
      <c r="K12" s="115" t="s">
        <v>3</v>
      </c>
      <c r="N12" s="128"/>
    </row>
    <row r="13" spans="3:14" ht="14.4" thickTop="1">
      <c r="C13" s="159"/>
      <c r="D13" s="121"/>
      <c r="E13" s="134"/>
      <c r="F13" s="134"/>
      <c r="G13" s="134"/>
      <c r="H13" s="134"/>
      <c r="I13" s="134"/>
      <c r="J13" s="134"/>
      <c r="K13" s="122"/>
      <c r="N13" s="128"/>
    </row>
    <row r="14" spans="3:14">
      <c r="C14" s="159"/>
      <c r="D14" s="311" t="s">
        <v>20</v>
      </c>
      <c r="E14" s="134"/>
      <c r="F14" s="134"/>
      <c r="G14" s="134"/>
      <c r="H14" s="134"/>
      <c r="I14" s="134"/>
      <c r="J14" s="134"/>
      <c r="K14" s="122"/>
    </row>
    <row r="15" spans="3:14">
      <c r="C15" s="159"/>
      <c r="D15" s="311"/>
      <c r="E15" s="134">
        <v>1</v>
      </c>
      <c r="F15" s="134">
        <v>1</v>
      </c>
      <c r="G15" s="134"/>
      <c r="H15" s="134"/>
      <c r="I15" s="134"/>
      <c r="J15" s="134">
        <f>+PRODUCT(E15:I15)</f>
        <v>1</v>
      </c>
      <c r="K15" s="123" t="s">
        <v>3</v>
      </c>
    </row>
    <row r="16" spans="3:14">
      <c r="C16" s="159"/>
      <c r="D16" s="311"/>
      <c r="E16" s="134"/>
      <c r="F16" s="134"/>
      <c r="G16" s="134"/>
      <c r="H16" s="134"/>
      <c r="I16" s="134"/>
      <c r="J16" s="146"/>
      <c r="K16" s="122"/>
    </row>
    <row r="17" spans="3:11">
      <c r="C17" s="159"/>
      <c r="D17" s="110" t="str">
        <f>+CONCATENATE("TOTAL DE ",D11)</f>
        <v>TOTAL DE CARTEL DE IDENTIFICACION DE LA OBRA DE 4.80M x 3.60M</v>
      </c>
      <c r="E17" s="135"/>
      <c r="F17" s="135"/>
      <c r="G17" s="135"/>
      <c r="H17" s="135"/>
      <c r="I17" s="135"/>
      <c r="J17" s="136">
        <f>+SUM(J13:J16)</f>
        <v>1</v>
      </c>
      <c r="K17" s="124" t="str">
        <f>+K15</f>
        <v>UND</v>
      </c>
    </row>
    <row r="18" spans="3:11">
      <c r="C18" s="159"/>
      <c r="D18" s="125"/>
      <c r="E18" s="146"/>
      <c r="F18" s="146"/>
      <c r="G18" s="146"/>
      <c r="H18" s="146"/>
      <c r="I18" s="146"/>
      <c r="J18" s="146"/>
      <c r="K18" s="126"/>
    </row>
    <row r="19" spans="3:11">
      <c r="C19" s="159"/>
      <c r="E19" s="132"/>
      <c r="F19" s="132"/>
      <c r="G19" s="132"/>
      <c r="H19" s="132"/>
      <c r="I19" s="132"/>
      <c r="J19" s="132"/>
      <c r="K19" s="120"/>
    </row>
    <row r="20" spans="3:11">
      <c r="C20" s="159">
        <f>+C11+0.0001</f>
        <v>1.0102</v>
      </c>
      <c r="D20" s="258" t="str">
        <f>VLOOKUP(C20,RESUMEN!C:F,2,FALSE)</f>
        <v>ALQUILER DE ALMACÉN, OFICINA Y CASETA DE GUARDIANÍA</v>
      </c>
      <c r="E20" s="132"/>
      <c r="F20" s="132"/>
      <c r="G20" s="132"/>
      <c r="H20" s="132"/>
      <c r="I20" s="132"/>
      <c r="J20" s="132"/>
      <c r="K20" s="120"/>
    </row>
    <row r="21" spans="3:11" ht="14.4" thickBot="1">
      <c r="C21" s="159"/>
      <c r="D21" s="115" t="s">
        <v>19</v>
      </c>
      <c r="E21" s="115" t="s">
        <v>13</v>
      </c>
      <c r="F21" s="116" t="s">
        <v>4</v>
      </c>
      <c r="G21" s="116" t="s">
        <v>5</v>
      </c>
      <c r="H21" s="116" t="s">
        <v>6</v>
      </c>
      <c r="I21" s="116" t="s">
        <v>11</v>
      </c>
      <c r="J21" s="116" t="s">
        <v>7</v>
      </c>
      <c r="K21" s="115" t="s">
        <v>3</v>
      </c>
    </row>
    <row r="22" spans="3:11" ht="14.4" thickTop="1">
      <c r="C22" s="159"/>
      <c r="D22" s="121"/>
      <c r="E22" s="134"/>
      <c r="F22" s="134"/>
      <c r="G22" s="134"/>
      <c r="H22" s="134"/>
      <c r="I22" s="134"/>
      <c r="J22" s="134"/>
      <c r="K22" s="122"/>
    </row>
    <row r="23" spans="3:11">
      <c r="C23" s="159"/>
      <c r="D23" s="311" t="s">
        <v>21</v>
      </c>
      <c r="E23" s="134"/>
      <c r="F23" s="134"/>
      <c r="G23" s="134"/>
      <c r="H23" s="134"/>
      <c r="I23" s="134"/>
      <c r="J23" s="134"/>
      <c r="K23" s="122"/>
    </row>
    <row r="24" spans="3:11">
      <c r="C24" s="159"/>
      <c r="D24" s="311"/>
      <c r="E24" s="134">
        <v>1</v>
      </c>
      <c r="F24" s="134">
        <v>3</v>
      </c>
      <c r="G24" s="134"/>
      <c r="H24" s="134"/>
      <c r="I24" s="134"/>
      <c r="J24" s="134">
        <f>+PRODUCT(E24:I24)</f>
        <v>3</v>
      </c>
      <c r="K24" s="123" t="s">
        <v>33</v>
      </c>
    </row>
    <row r="25" spans="3:11">
      <c r="C25" s="159"/>
      <c r="D25" s="311"/>
      <c r="E25" s="134"/>
      <c r="F25" s="134"/>
      <c r="G25" s="134"/>
      <c r="H25" s="134"/>
      <c r="I25" s="134"/>
      <c r="J25" s="146"/>
      <c r="K25" s="122"/>
    </row>
    <row r="26" spans="3:11">
      <c r="C26" s="159"/>
      <c r="D26" s="111" t="str">
        <f>+CONCATENATE("TOTAL DE ",D20)</f>
        <v>TOTAL DE ALQUILER DE ALMACÉN, OFICINA Y CASETA DE GUARDIANÍA</v>
      </c>
      <c r="E26" s="135"/>
      <c r="F26" s="135"/>
      <c r="G26" s="135"/>
      <c r="H26" s="135"/>
      <c r="I26" s="135"/>
      <c r="J26" s="136">
        <f>+SUM(J22:J25)</f>
        <v>3</v>
      </c>
      <c r="K26" s="124" t="str">
        <f>+K24</f>
        <v>MES</v>
      </c>
    </row>
    <row r="27" spans="3:11">
      <c r="C27" s="159"/>
      <c r="D27" s="125"/>
      <c r="E27" s="146"/>
      <c r="F27" s="146"/>
      <c r="G27" s="146"/>
      <c r="H27" s="146"/>
      <c r="I27" s="146"/>
      <c r="J27" s="146"/>
      <c r="K27" s="126"/>
    </row>
    <row r="28" spans="3:11">
      <c r="C28" s="159"/>
      <c r="E28" s="132"/>
      <c r="F28" s="132"/>
      <c r="G28" s="132"/>
      <c r="H28" s="132"/>
      <c r="I28" s="132"/>
      <c r="J28" s="132"/>
      <c r="K28" s="120"/>
    </row>
    <row r="29" spans="3:11">
      <c r="C29" s="159">
        <f>+C20+0.0001</f>
        <v>1.0103</v>
      </c>
      <c r="D29" s="259" t="str">
        <f>VLOOKUP(C29,RESUMEN!C:F,2,FALSE)</f>
        <v>CERCO PROVISIONAL DE OBRA H= 2.50 CON POSTES DE MADERA Y MALLA RASCHEL</v>
      </c>
      <c r="E29" s="132"/>
      <c r="F29" s="132"/>
      <c r="G29" s="132"/>
      <c r="H29" s="132"/>
      <c r="I29" s="132"/>
      <c r="J29" s="132"/>
      <c r="K29" s="120"/>
    </row>
    <row r="30" spans="3:11" ht="14.4" thickBot="1">
      <c r="C30" s="159"/>
      <c r="D30" s="115" t="s">
        <v>19</v>
      </c>
      <c r="E30" s="115" t="s">
        <v>13</v>
      </c>
      <c r="F30" s="116" t="s">
        <v>4</v>
      </c>
      <c r="G30" s="116" t="s">
        <v>5</v>
      </c>
      <c r="H30" s="116" t="s">
        <v>6</v>
      </c>
      <c r="I30" s="116" t="s">
        <v>11</v>
      </c>
      <c r="J30" s="116" t="s">
        <v>7</v>
      </c>
      <c r="K30" s="115" t="s">
        <v>3</v>
      </c>
    </row>
    <row r="31" spans="3:11" ht="14.4" thickTop="1">
      <c r="C31" s="159"/>
      <c r="D31" s="121"/>
      <c r="E31" s="134"/>
      <c r="F31" s="134"/>
      <c r="G31" s="134"/>
      <c r="H31" s="134"/>
      <c r="I31" s="134"/>
      <c r="J31" s="134"/>
      <c r="K31" s="122"/>
    </row>
    <row r="32" spans="3:11">
      <c r="C32" s="159"/>
      <c r="D32" s="311" t="s">
        <v>394</v>
      </c>
      <c r="E32" s="134"/>
      <c r="F32" s="134"/>
      <c r="G32" s="134"/>
      <c r="H32" s="134"/>
      <c r="I32" s="134"/>
      <c r="J32" s="134"/>
      <c r="K32" s="122"/>
    </row>
    <row r="33" spans="3:11">
      <c r="C33" s="159"/>
      <c r="D33" s="311"/>
      <c r="E33" s="134">
        <v>1</v>
      </c>
      <c r="F33" s="215">
        <v>1</v>
      </c>
      <c r="G33" s="134">
        <v>144</v>
      </c>
      <c r="H33" s="134"/>
      <c r="I33" s="134"/>
      <c r="J33" s="215">
        <f>+PRODUCT(E33:I33)</f>
        <v>144</v>
      </c>
      <c r="K33" s="123" t="s">
        <v>9</v>
      </c>
    </row>
    <row r="34" spans="3:11">
      <c r="C34" s="159"/>
      <c r="D34" s="311"/>
      <c r="E34" s="134"/>
      <c r="F34" s="134"/>
      <c r="G34" s="134"/>
      <c r="H34" s="134"/>
      <c r="I34" s="134"/>
      <c r="J34" s="146"/>
      <c r="K34" s="122"/>
    </row>
    <row r="35" spans="3:11" ht="27.6">
      <c r="C35" s="159"/>
      <c r="D35" s="111" t="str">
        <f>+CONCATENATE("TOTAL DE ",D29)</f>
        <v>TOTAL DE CERCO PROVISIONAL DE OBRA H= 2.50 CON POSTES DE MADERA Y MALLA RASCHEL</v>
      </c>
      <c r="E35" s="135"/>
      <c r="F35" s="135"/>
      <c r="G35" s="135"/>
      <c r="H35" s="135"/>
      <c r="I35" s="135"/>
      <c r="J35" s="136">
        <f>+SUM(J31:J34)</f>
        <v>144</v>
      </c>
      <c r="K35" s="124" t="str">
        <f>+K33</f>
        <v>ML</v>
      </c>
    </row>
    <row r="36" spans="3:11">
      <c r="C36" s="159"/>
      <c r="D36" s="125"/>
      <c r="E36" s="146"/>
      <c r="F36" s="146"/>
      <c r="G36" s="146"/>
      <c r="H36" s="146"/>
      <c r="I36" s="146"/>
      <c r="J36" s="146"/>
      <c r="K36" s="126"/>
    </row>
    <row r="37" spans="3:11">
      <c r="C37" s="159"/>
      <c r="E37" s="132"/>
      <c r="F37" s="132"/>
      <c r="G37" s="132"/>
      <c r="H37" s="132"/>
      <c r="I37" s="132"/>
      <c r="J37" s="132"/>
      <c r="K37" s="120"/>
    </row>
    <row r="38" spans="3:11">
      <c r="C38" s="158">
        <f>+C10+0.01</f>
        <v>1.02</v>
      </c>
      <c r="D38" s="257" t="str">
        <f>RESUMEN!D15</f>
        <v>INSTALACIONES PROVISIONALES</v>
      </c>
      <c r="E38" s="132"/>
      <c r="F38" s="132"/>
      <c r="G38" s="132"/>
      <c r="H38" s="132"/>
      <c r="I38" s="132"/>
      <c r="J38" s="132"/>
      <c r="K38" s="120"/>
    </row>
    <row r="39" spans="3:11">
      <c r="C39" s="159">
        <f>+C38+0.0001</f>
        <v>1.0201</v>
      </c>
      <c r="D39" s="258" t="str">
        <f>RESUMEN!D16</f>
        <v>INSTALACION PROVISIONAL DE ENERGÍA ELÉCTRICA</v>
      </c>
      <c r="E39" s="132"/>
      <c r="F39" s="132"/>
      <c r="G39" s="132"/>
      <c r="H39" s="132"/>
      <c r="I39" s="132"/>
      <c r="J39" s="132"/>
      <c r="K39" s="120"/>
    </row>
    <row r="40" spans="3:11" ht="14.4" thickBot="1">
      <c r="C40" s="159"/>
      <c r="D40" s="115" t="s">
        <v>19</v>
      </c>
      <c r="E40" s="115" t="s">
        <v>13</v>
      </c>
      <c r="F40" s="116" t="s">
        <v>4</v>
      </c>
      <c r="G40" s="116" t="s">
        <v>5</v>
      </c>
      <c r="H40" s="116" t="s">
        <v>6</v>
      </c>
      <c r="I40" s="116" t="s">
        <v>11</v>
      </c>
      <c r="J40" s="116" t="s">
        <v>7</v>
      </c>
      <c r="K40" s="115" t="s">
        <v>3</v>
      </c>
    </row>
    <row r="41" spans="3:11" ht="14.4" thickTop="1">
      <c r="C41" s="159"/>
      <c r="D41" s="121"/>
      <c r="E41" s="134"/>
      <c r="F41" s="134"/>
      <c r="G41" s="134"/>
      <c r="H41" s="134"/>
      <c r="I41" s="134"/>
      <c r="J41" s="134"/>
      <c r="K41" s="122"/>
    </row>
    <row r="42" spans="3:11">
      <c r="C42" s="159"/>
      <c r="D42" s="311" t="s">
        <v>439</v>
      </c>
      <c r="E42" s="134"/>
      <c r="F42" s="134"/>
      <c r="G42" s="134"/>
      <c r="H42" s="134"/>
      <c r="I42" s="134"/>
      <c r="J42" s="134"/>
      <c r="K42" s="122"/>
    </row>
    <row r="43" spans="3:11">
      <c r="C43" s="159"/>
      <c r="D43" s="311"/>
      <c r="E43" s="134">
        <v>1</v>
      </c>
      <c r="F43" s="215">
        <v>1</v>
      </c>
      <c r="G43" s="134"/>
      <c r="H43" s="134"/>
      <c r="I43" s="134"/>
      <c r="J43" s="215">
        <f>+PRODUCT(E43:I43)</f>
        <v>1</v>
      </c>
      <c r="K43" s="123" t="s">
        <v>440</v>
      </c>
    </row>
    <row r="44" spans="3:11">
      <c r="C44" s="159"/>
      <c r="D44" s="311"/>
      <c r="E44" s="134"/>
      <c r="F44" s="134"/>
      <c r="G44" s="134"/>
      <c r="H44" s="134"/>
      <c r="I44" s="134"/>
      <c r="J44" s="146"/>
      <c r="K44" s="122"/>
    </row>
    <row r="45" spans="3:11">
      <c r="C45" s="159"/>
      <c r="D45" s="111" t="str">
        <f>+CONCATENATE("TOTAL DE ",D38)</f>
        <v>TOTAL DE INSTALACIONES PROVISIONALES</v>
      </c>
      <c r="E45" s="135"/>
      <c r="F45" s="135"/>
      <c r="G45" s="135"/>
      <c r="H45" s="135"/>
      <c r="I45" s="135"/>
      <c r="J45" s="136">
        <f>+SUM(J41:J44)</f>
        <v>1</v>
      </c>
      <c r="K45" s="124" t="str">
        <f>+K43</f>
        <v>Glb</v>
      </c>
    </row>
    <row r="46" spans="3:11">
      <c r="C46" s="159"/>
      <c r="D46" s="125"/>
      <c r="E46" s="146"/>
      <c r="F46" s="146"/>
      <c r="G46" s="146"/>
      <c r="H46" s="146"/>
      <c r="I46" s="146"/>
      <c r="J46" s="146"/>
      <c r="K46" s="126"/>
    </row>
    <row r="47" spans="3:11">
      <c r="C47" s="159"/>
      <c r="D47" s="166"/>
      <c r="E47" s="132"/>
      <c r="F47" s="132"/>
      <c r="G47" s="132"/>
      <c r="H47" s="132"/>
      <c r="I47" s="132"/>
      <c r="J47" s="132"/>
      <c r="K47" s="120"/>
    </row>
    <row r="48" spans="3:11">
      <c r="C48" s="158">
        <f>+C38+0.01</f>
        <v>1.03</v>
      </c>
      <c r="D48" s="257" t="str">
        <f>RESUMEN!D17</f>
        <v>TRABAJOS PRELIMINARES</v>
      </c>
      <c r="E48" s="132"/>
      <c r="F48" s="132"/>
      <c r="G48" s="132"/>
      <c r="H48" s="132"/>
      <c r="I48" s="132"/>
      <c r="J48" s="132"/>
      <c r="K48" s="113"/>
    </row>
    <row r="49" spans="3:14">
      <c r="C49" s="159">
        <f>+C48+0.0001</f>
        <v>1.0301</v>
      </c>
      <c r="D49" s="258" t="str">
        <f>RESUMEN!D18</f>
        <v>MOVILIZACION Y DESMOVILIZACION DE MAQUINARIAS, EQUIPOS Y HERRAMIENTAS</v>
      </c>
      <c r="E49" s="132"/>
      <c r="F49" s="132"/>
      <c r="G49" s="132"/>
      <c r="H49" s="132"/>
      <c r="I49" s="132"/>
      <c r="J49" s="132"/>
      <c r="K49" s="120"/>
    </row>
    <row r="50" spans="3:14" ht="14.4" thickBot="1">
      <c r="C50" s="159"/>
      <c r="D50" s="115" t="s">
        <v>19</v>
      </c>
      <c r="E50" s="115" t="s">
        <v>13</v>
      </c>
      <c r="F50" s="116" t="s">
        <v>4</v>
      </c>
      <c r="G50" s="116" t="s">
        <v>5</v>
      </c>
      <c r="H50" s="116" t="s">
        <v>6</v>
      </c>
      <c r="I50" s="116" t="s">
        <v>11</v>
      </c>
      <c r="J50" s="116" t="s">
        <v>7</v>
      </c>
      <c r="K50" s="115" t="s">
        <v>3</v>
      </c>
    </row>
    <row r="51" spans="3:14" ht="14.4" thickTop="1">
      <c r="C51" s="159"/>
      <c r="D51" s="121"/>
      <c r="E51" s="134"/>
      <c r="F51" s="134"/>
      <c r="G51" s="134"/>
      <c r="H51" s="134"/>
      <c r="I51" s="134"/>
      <c r="J51" s="134"/>
      <c r="K51" s="122"/>
    </row>
    <row r="52" spans="3:14">
      <c r="C52" s="159"/>
      <c r="D52" s="311" t="s">
        <v>22</v>
      </c>
      <c r="E52" s="134"/>
      <c r="F52" s="134"/>
      <c r="G52" s="134"/>
      <c r="H52" s="134"/>
      <c r="I52" s="134"/>
      <c r="J52" s="134"/>
      <c r="K52" s="122"/>
    </row>
    <row r="53" spans="3:14">
      <c r="C53" s="159"/>
      <c r="D53" s="311"/>
      <c r="E53" s="134">
        <v>1</v>
      </c>
      <c r="F53" s="134">
        <v>1</v>
      </c>
      <c r="G53" s="134"/>
      <c r="H53" s="134"/>
      <c r="I53" s="134"/>
      <c r="J53" s="134">
        <f>+PRODUCT(E53:I53)</f>
        <v>1</v>
      </c>
      <c r="K53" s="123" t="s">
        <v>17</v>
      </c>
      <c r="N53" s="128"/>
    </row>
    <row r="54" spans="3:14">
      <c r="C54" s="159"/>
      <c r="D54" s="311"/>
      <c r="E54" s="134"/>
      <c r="F54" s="134"/>
      <c r="G54" s="134"/>
      <c r="H54" s="134"/>
      <c r="I54" s="134"/>
      <c r="J54" s="146"/>
      <c r="K54" s="122"/>
      <c r="M54" s="112"/>
      <c r="N54" s="128"/>
    </row>
    <row r="55" spans="3:14" ht="27.6">
      <c r="C55" s="159"/>
      <c r="D55" s="111" t="str">
        <f>+CONCATENATE("TOTAL DE ",D49)</f>
        <v>TOTAL DE MOVILIZACION Y DESMOVILIZACION DE MAQUINARIAS, EQUIPOS Y HERRAMIENTAS</v>
      </c>
      <c r="E55" s="135"/>
      <c r="F55" s="135"/>
      <c r="G55" s="135"/>
      <c r="H55" s="135"/>
      <c r="I55" s="135"/>
      <c r="J55" s="136">
        <f>+SUM(J51:J54)</f>
        <v>1</v>
      </c>
      <c r="K55" s="124" t="str">
        <f>+K53</f>
        <v>GLB</v>
      </c>
      <c r="M55" s="127"/>
      <c r="N55" s="128"/>
    </row>
    <row r="56" spans="3:14">
      <c r="C56" s="159"/>
      <c r="D56" s="125"/>
      <c r="E56" s="146"/>
      <c r="F56" s="146"/>
      <c r="G56" s="146"/>
      <c r="H56" s="146"/>
      <c r="I56" s="146"/>
      <c r="J56" s="146"/>
      <c r="K56" s="126"/>
      <c r="M56" s="112"/>
      <c r="N56" s="128"/>
    </row>
    <row r="57" spans="3:14">
      <c r="C57" s="159"/>
      <c r="E57" s="132"/>
      <c r="F57" s="132"/>
      <c r="G57" s="132"/>
      <c r="H57" s="132"/>
      <c r="I57" s="132"/>
      <c r="J57" s="132"/>
      <c r="K57" s="120"/>
      <c r="M57" s="127"/>
      <c r="N57" s="128"/>
    </row>
    <row r="58" spans="3:14">
      <c r="C58" s="158">
        <f>+C48+0.01</f>
        <v>1.04</v>
      </c>
      <c r="D58" s="182" t="s">
        <v>35</v>
      </c>
      <c r="E58" s="132"/>
      <c r="F58" s="132"/>
      <c r="G58" s="132"/>
      <c r="H58" s="132"/>
      <c r="I58" s="132"/>
      <c r="J58" s="132"/>
      <c r="K58" s="113"/>
      <c r="M58" s="127"/>
      <c r="N58" s="128"/>
    </row>
    <row r="59" spans="3:14">
      <c r="C59" s="159">
        <f>C58+0.0001</f>
        <v>1.0401</v>
      </c>
      <c r="D59" s="258" t="str">
        <f>RESUMEN!D20</f>
        <v>ELABORACION, IMPLEMENTACION Y ADMINISTRACION DE PLAN DE SEGURIDAD Y SALUD EN EL TRABAJO</v>
      </c>
      <c r="E59" s="132"/>
      <c r="F59" s="132"/>
      <c r="G59" s="132"/>
      <c r="H59" s="132"/>
      <c r="I59" s="132"/>
      <c r="J59" s="132"/>
      <c r="K59" s="120"/>
      <c r="M59" s="127"/>
      <c r="N59" s="128"/>
    </row>
    <row r="60" spans="3:14" ht="14.4" thickBot="1">
      <c r="C60" s="159"/>
      <c r="D60" s="115" t="s">
        <v>19</v>
      </c>
      <c r="E60" s="115" t="s">
        <v>13</v>
      </c>
      <c r="F60" s="116" t="s">
        <v>4</v>
      </c>
      <c r="G60" s="116" t="s">
        <v>5</v>
      </c>
      <c r="H60" s="116" t="s">
        <v>6</v>
      </c>
      <c r="I60" s="116" t="s">
        <v>11</v>
      </c>
      <c r="J60" s="116" t="s">
        <v>7</v>
      </c>
      <c r="K60" s="115" t="s">
        <v>3</v>
      </c>
      <c r="M60" s="127"/>
      <c r="N60" s="128"/>
    </row>
    <row r="61" spans="3:14" ht="14.4" thickTop="1">
      <c r="C61" s="159"/>
      <c r="D61" s="121"/>
      <c r="E61" s="134"/>
      <c r="F61" s="134"/>
      <c r="G61" s="134"/>
      <c r="H61" s="134"/>
      <c r="I61" s="134"/>
      <c r="J61" s="134"/>
      <c r="K61" s="122"/>
      <c r="M61" s="127"/>
      <c r="N61" s="128"/>
    </row>
    <row r="62" spans="3:14">
      <c r="C62" s="159"/>
      <c r="D62" s="311" t="s">
        <v>553</v>
      </c>
      <c r="E62" s="134"/>
      <c r="F62" s="134"/>
      <c r="G62" s="134"/>
      <c r="H62" s="134"/>
      <c r="I62" s="134"/>
      <c r="J62" s="134"/>
      <c r="K62" s="122"/>
      <c r="M62" s="127"/>
      <c r="N62" s="128"/>
    </row>
    <row r="63" spans="3:14">
      <c r="C63" s="159"/>
      <c r="D63" s="311"/>
      <c r="E63" s="134">
        <v>1</v>
      </c>
      <c r="F63" s="134">
        <v>1</v>
      </c>
      <c r="G63" s="134"/>
      <c r="H63" s="134"/>
      <c r="I63" s="134"/>
      <c r="J63" s="134">
        <f>+PRODUCT(E63:I63)</f>
        <v>1</v>
      </c>
      <c r="K63" s="123" t="s">
        <v>17</v>
      </c>
      <c r="M63" s="127"/>
      <c r="N63" s="128"/>
    </row>
    <row r="64" spans="3:14">
      <c r="C64" s="159"/>
      <c r="D64" s="311"/>
      <c r="E64" s="134"/>
      <c r="F64" s="134"/>
      <c r="G64" s="134"/>
      <c r="H64" s="134"/>
      <c r="I64" s="134"/>
      <c r="J64" s="146"/>
      <c r="K64" s="122"/>
      <c r="M64" s="127"/>
      <c r="N64" s="128"/>
    </row>
    <row r="65" spans="3:14">
      <c r="C65" s="159"/>
      <c r="D65" s="314" t="str">
        <f>+CONCATENATE("TOTAL DE ",D59)</f>
        <v>TOTAL DE ELABORACION, IMPLEMENTACION Y ADMINISTRACION DE PLAN DE SEGURIDAD Y SALUD EN EL TRABAJO</v>
      </c>
      <c r="E65" s="135"/>
      <c r="F65" s="135"/>
      <c r="G65" s="135"/>
      <c r="H65" s="135"/>
      <c r="I65" s="135"/>
      <c r="J65" s="136">
        <f>+SUM(J61:J64)</f>
        <v>1</v>
      </c>
      <c r="K65" s="124" t="str">
        <f>+K63</f>
        <v>GLB</v>
      </c>
      <c r="M65" s="127"/>
      <c r="N65" s="128"/>
    </row>
    <row r="66" spans="3:14">
      <c r="C66" s="159"/>
      <c r="D66" s="315"/>
      <c r="E66" s="146"/>
      <c r="F66" s="146"/>
      <c r="G66" s="146"/>
      <c r="H66" s="146"/>
      <c r="I66" s="146"/>
      <c r="J66" s="146"/>
      <c r="K66" s="126"/>
      <c r="M66" s="127"/>
      <c r="N66" s="128"/>
    </row>
    <row r="67" spans="3:14">
      <c r="C67" s="159"/>
      <c r="E67" s="132"/>
      <c r="F67" s="132"/>
      <c r="G67" s="132"/>
      <c r="H67" s="132"/>
      <c r="I67" s="132"/>
      <c r="J67" s="132"/>
      <c r="K67" s="120"/>
      <c r="M67" s="127"/>
      <c r="N67" s="128"/>
    </row>
    <row r="68" spans="3:14">
      <c r="C68" s="159">
        <f>+C59+0.0001</f>
        <v>1.0402</v>
      </c>
      <c r="D68" s="258" t="str">
        <f>VLOOKUP(C68,RESUMEN!C:F,2,FALSE)</f>
        <v>CAPACITACIÓN EN SEGURIDAD Y SALUD</v>
      </c>
      <c r="M68" s="127"/>
      <c r="N68" s="128"/>
    </row>
    <row r="69" spans="3:14" ht="14.4" thickBot="1">
      <c r="C69" s="159"/>
      <c r="D69" s="115" t="s">
        <v>19</v>
      </c>
      <c r="E69" s="115" t="s">
        <v>13</v>
      </c>
      <c r="F69" s="116" t="s">
        <v>4</v>
      </c>
      <c r="G69" s="116" t="s">
        <v>5</v>
      </c>
      <c r="H69" s="116" t="s">
        <v>6</v>
      </c>
      <c r="I69" s="116" t="s">
        <v>11</v>
      </c>
      <c r="J69" s="116" t="s">
        <v>7</v>
      </c>
      <c r="K69" s="115" t="s">
        <v>3</v>
      </c>
      <c r="M69" s="127"/>
      <c r="N69" s="128"/>
    </row>
    <row r="70" spans="3:14" ht="14.4" thickTop="1">
      <c r="C70" s="159"/>
      <c r="D70" s="121"/>
      <c r="E70" s="134"/>
      <c r="F70" s="134"/>
      <c r="G70" s="134"/>
      <c r="H70" s="134"/>
      <c r="I70" s="134"/>
      <c r="J70" s="134"/>
      <c r="K70" s="122"/>
      <c r="M70" s="127"/>
      <c r="N70" s="128"/>
    </row>
    <row r="71" spans="3:14" ht="13.8" customHeight="1">
      <c r="C71" s="159"/>
      <c r="D71" s="311" t="s">
        <v>36</v>
      </c>
      <c r="E71" s="134"/>
      <c r="F71" s="134"/>
      <c r="G71" s="134"/>
      <c r="H71" s="134"/>
      <c r="I71" s="134"/>
      <c r="J71" s="134"/>
      <c r="K71" s="122"/>
      <c r="M71" s="127"/>
      <c r="N71" s="128"/>
    </row>
    <row r="72" spans="3:14">
      <c r="C72" s="159"/>
      <c r="D72" s="311"/>
      <c r="E72" s="134">
        <v>1</v>
      </c>
      <c r="F72" s="134">
        <v>1</v>
      </c>
      <c r="G72" s="134"/>
      <c r="H72" s="134"/>
      <c r="I72" s="134"/>
      <c r="J72" s="134">
        <f>+PRODUCT(E72:I72)</f>
        <v>1</v>
      </c>
      <c r="K72" s="123" t="s">
        <v>17</v>
      </c>
      <c r="M72" s="127"/>
      <c r="N72" s="128"/>
    </row>
    <row r="73" spans="3:14">
      <c r="C73" s="159"/>
      <c r="D73" s="311"/>
      <c r="E73" s="134"/>
      <c r="F73" s="134"/>
      <c r="G73" s="134"/>
      <c r="H73" s="134"/>
      <c r="I73" s="134"/>
      <c r="J73" s="146"/>
      <c r="K73" s="122"/>
      <c r="M73" s="127"/>
      <c r="N73" s="128"/>
    </row>
    <row r="74" spans="3:14">
      <c r="C74" s="159"/>
      <c r="D74" s="111" t="str">
        <f>+CONCATENATE("TOTAL DE ",+D68)</f>
        <v>TOTAL DE CAPACITACIÓN EN SEGURIDAD Y SALUD</v>
      </c>
      <c r="E74" s="135"/>
      <c r="F74" s="135"/>
      <c r="G74" s="135"/>
      <c r="H74" s="135"/>
      <c r="I74" s="135"/>
      <c r="J74" s="136">
        <f>+SUM(J70:J73)</f>
        <v>1</v>
      </c>
      <c r="K74" s="124" t="str">
        <f>+K72</f>
        <v>GLB</v>
      </c>
      <c r="M74" s="127"/>
      <c r="N74" s="128"/>
    </row>
    <row r="75" spans="3:14">
      <c r="C75" s="159"/>
      <c r="D75" s="125"/>
      <c r="E75" s="146"/>
      <c r="F75" s="146"/>
      <c r="G75" s="146"/>
      <c r="H75" s="146"/>
      <c r="I75" s="146"/>
      <c r="J75" s="146"/>
      <c r="K75" s="126"/>
      <c r="M75" s="127"/>
      <c r="N75" s="128"/>
    </row>
    <row r="76" spans="3:14">
      <c r="C76" s="159"/>
      <c r="E76" s="132"/>
      <c r="F76" s="132"/>
      <c r="G76" s="132"/>
      <c r="H76" s="132"/>
      <c r="I76" s="132"/>
      <c r="J76" s="132"/>
      <c r="K76" s="120"/>
      <c r="M76" s="127"/>
      <c r="N76" s="128"/>
    </row>
    <row r="77" spans="3:14">
      <c r="C77" s="159">
        <f>+C68+0.0001</f>
        <v>1.0403</v>
      </c>
      <c r="D77" s="266" t="str">
        <f>RESUMEN!D22</f>
        <v>EQUIPOS DE PROTECCION PERSONAL</v>
      </c>
      <c r="E77" s="132"/>
      <c r="F77" s="132"/>
      <c r="G77" s="132"/>
      <c r="H77" s="132"/>
      <c r="I77" s="132"/>
      <c r="J77" s="132"/>
      <c r="K77" s="120"/>
      <c r="M77" s="127"/>
      <c r="N77" s="128"/>
    </row>
    <row r="78" spans="3:14" ht="14.4" thickBot="1">
      <c r="C78" s="159"/>
      <c r="D78" s="115" t="s">
        <v>19</v>
      </c>
      <c r="E78" s="115" t="s">
        <v>13</v>
      </c>
      <c r="F78" s="116" t="s">
        <v>4</v>
      </c>
      <c r="G78" s="116" t="s">
        <v>5</v>
      </c>
      <c r="H78" s="116" t="s">
        <v>6</v>
      </c>
      <c r="I78" s="116" t="s">
        <v>11</v>
      </c>
      <c r="J78" s="116" t="s">
        <v>7</v>
      </c>
      <c r="K78" s="115" t="s">
        <v>3</v>
      </c>
      <c r="M78" s="127"/>
      <c r="N78" s="128"/>
    </row>
    <row r="79" spans="3:14" ht="14.4" thickTop="1">
      <c r="C79" s="159"/>
      <c r="D79" s="121"/>
      <c r="E79" s="134"/>
      <c r="F79" s="134"/>
      <c r="G79" s="134"/>
      <c r="H79" s="134"/>
      <c r="I79" s="134"/>
      <c r="J79" s="134"/>
      <c r="K79" s="122"/>
      <c r="M79" s="127"/>
      <c r="N79" s="128"/>
    </row>
    <row r="80" spans="3:14">
      <c r="C80" s="159"/>
      <c r="D80" s="311" t="s">
        <v>554</v>
      </c>
      <c r="E80" s="134"/>
      <c r="F80" s="134"/>
      <c r="G80" s="134"/>
      <c r="H80" s="134"/>
      <c r="I80" s="134"/>
      <c r="J80" s="134"/>
      <c r="K80" s="122"/>
      <c r="M80" s="127"/>
      <c r="N80" s="128"/>
    </row>
    <row r="81" spans="3:14">
      <c r="C81" s="159"/>
      <c r="D81" s="311"/>
      <c r="E81" s="134">
        <v>1</v>
      </c>
      <c r="F81" s="134">
        <v>15</v>
      </c>
      <c r="G81" s="134"/>
      <c r="H81" s="134"/>
      <c r="I81" s="134"/>
      <c r="J81" s="134">
        <f>+PRODUCT(E81:I81)</f>
        <v>15</v>
      </c>
      <c r="K81" s="123" t="s">
        <v>3</v>
      </c>
      <c r="M81" s="127"/>
      <c r="N81" s="128"/>
    </row>
    <row r="82" spans="3:14">
      <c r="C82" s="159"/>
      <c r="D82" s="311"/>
      <c r="E82" s="134"/>
      <c r="F82" s="134"/>
      <c r="G82" s="134"/>
      <c r="H82" s="134"/>
      <c r="I82" s="134"/>
      <c r="J82" s="146"/>
      <c r="K82" s="122"/>
      <c r="M82" s="127"/>
      <c r="N82" s="128"/>
    </row>
    <row r="83" spans="3:14">
      <c r="C83" s="159"/>
      <c r="D83" s="131"/>
      <c r="E83" s="134"/>
      <c r="F83" s="134"/>
      <c r="G83" s="134"/>
      <c r="H83" s="134"/>
      <c r="I83" s="134"/>
      <c r="J83" s="134"/>
      <c r="K83" s="122"/>
      <c r="M83" s="127"/>
      <c r="N83" s="128"/>
    </row>
    <row r="84" spans="3:14">
      <c r="C84" s="159"/>
      <c r="D84" s="111" t="str">
        <f>+CONCATENATE("TOTAL DE ",+D77)</f>
        <v>TOTAL DE EQUIPOS DE PROTECCION PERSONAL</v>
      </c>
      <c r="E84" s="135"/>
      <c r="F84" s="135"/>
      <c r="G84" s="135"/>
      <c r="H84" s="135"/>
      <c r="I84" s="135"/>
      <c r="J84" s="136">
        <f>+SUM(J79:J82)</f>
        <v>15</v>
      </c>
      <c r="K84" s="124" t="str">
        <f>+K81</f>
        <v>UND</v>
      </c>
      <c r="M84" s="127"/>
      <c r="N84" s="128"/>
    </row>
    <row r="85" spans="3:14">
      <c r="C85" s="159"/>
      <c r="D85" s="125"/>
      <c r="E85" s="146"/>
      <c r="F85" s="146"/>
      <c r="G85" s="146"/>
      <c r="H85" s="146"/>
      <c r="I85" s="146"/>
      <c r="J85" s="146"/>
      <c r="K85" s="126"/>
      <c r="M85" s="127"/>
      <c r="N85" s="128"/>
    </row>
    <row r="86" spans="3:14">
      <c r="C86" s="159"/>
      <c r="E86" s="132"/>
      <c r="F86" s="132"/>
      <c r="G86" s="132"/>
      <c r="H86" s="132"/>
      <c r="I86" s="132"/>
      <c r="J86" s="132"/>
      <c r="K86" s="120"/>
      <c r="M86" s="127"/>
      <c r="N86" s="128"/>
    </row>
    <row r="87" spans="3:14">
      <c r="C87" s="159">
        <f>+C77+0.0001</f>
        <v>1.0404</v>
      </c>
      <c r="D87" s="266" t="str">
        <f>RESUMEN!D23</f>
        <v>EQUIPOS DE PROTECCION COLECTIVA</v>
      </c>
      <c r="E87" s="132"/>
      <c r="F87" s="132"/>
      <c r="G87" s="132"/>
      <c r="H87" s="132"/>
      <c r="I87" s="132"/>
      <c r="J87" s="132"/>
      <c r="K87" s="120"/>
      <c r="M87" s="127"/>
      <c r="N87" s="128"/>
    </row>
    <row r="88" spans="3:14" ht="14.4" thickBot="1">
      <c r="C88" s="159"/>
      <c r="D88" s="115" t="s">
        <v>19</v>
      </c>
      <c r="E88" s="115" t="s">
        <v>13</v>
      </c>
      <c r="F88" s="116" t="s">
        <v>4</v>
      </c>
      <c r="G88" s="116" t="s">
        <v>5</v>
      </c>
      <c r="H88" s="116" t="s">
        <v>6</v>
      </c>
      <c r="I88" s="116" t="s">
        <v>11</v>
      </c>
      <c r="J88" s="116" t="s">
        <v>7</v>
      </c>
      <c r="K88" s="115" t="s">
        <v>3</v>
      </c>
      <c r="M88" s="127"/>
      <c r="N88" s="128"/>
    </row>
    <row r="89" spans="3:14" ht="14.4" thickTop="1">
      <c r="C89" s="159"/>
      <c r="D89" s="121"/>
      <c r="E89" s="134"/>
      <c r="F89" s="134"/>
      <c r="G89" s="134"/>
      <c r="H89" s="134"/>
      <c r="I89" s="134"/>
      <c r="J89" s="134"/>
      <c r="K89" s="122"/>
      <c r="M89" s="127"/>
      <c r="N89" s="128"/>
    </row>
    <row r="90" spans="3:14" ht="13.8" customHeight="1">
      <c r="C90" s="159"/>
      <c r="D90" s="311" t="s">
        <v>555</v>
      </c>
      <c r="E90" s="134"/>
      <c r="F90" s="134"/>
      <c r="G90" s="134"/>
      <c r="H90" s="134"/>
      <c r="I90" s="134"/>
      <c r="J90" s="134"/>
      <c r="K90" s="122"/>
      <c r="M90" s="127"/>
      <c r="N90" s="128"/>
    </row>
    <row r="91" spans="3:14">
      <c r="C91" s="159"/>
      <c r="D91" s="311"/>
      <c r="E91" s="134">
        <v>1</v>
      </c>
      <c r="F91" s="134">
        <v>1</v>
      </c>
      <c r="G91" s="134"/>
      <c r="H91" s="134"/>
      <c r="I91" s="134"/>
      <c r="J91" s="134">
        <f>+PRODUCT(E91:I91)</f>
        <v>1</v>
      </c>
      <c r="K91" s="123" t="s">
        <v>17</v>
      </c>
      <c r="M91" s="127"/>
      <c r="N91" s="128"/>
    </row>
    <row r="92" spans="3:14">
      <c r="C92" s="159"/>
      <c r="D92" s="311"/>
      <c r="E92" s="134"/>
      <c r="F92" s="134"/>
      <c r="G92" s="134"/>
      <c r="H92" s="134"/>
      <c r="I92" s="134"/>
      <c r="J92" s="146"/>
      <c r="K92" s="122"/>
      <c r="M92" s="127"/>
      <c r="N92" s="128"/>
    </row>
    <row r="93" spans="3:14">
      <c r="C93" s="159"/>
      <c r="D93" s="131"/>
      <c r="E93" s="134"/>
      <c r="F93" s="134"/>
      <c r="G93" s="134"/>
      <c r="H93" s="134"/>
      <c r="I93" s="134"/>
      <c r="J93" s="134"/>
      <c r="K93" s="122"/>
    </row>
    <row r="94" spans="3:14" ht="15" customHeight="1">
      <c r="C94" s="159"/>
      <c r="D94" s="111" t="str">
        <f>+CONCATENATE("TOTAL DE ",+D87)</f>
        <v>TOTAL DE EQUIPOS DE PROTECCION COLECTIVA</v>
      </c>
      <c r="E94" s="135"/>
      <c r="F94" s="135"/>
      <c r="G94" s="135"/>
      <c r="H94" s="135"/>
      <c r="I94" s="135"/>
      <c r="J94" s="136">
        <f>+SUM(J89:J92)</f>
        <v>1</v>
      </c>
      <c r="K94" s="124" t="str">
        <f>+K91</f>
        <v>GLB</v>
      </c>
    </row>
    <row r="95" spans="3:14">
      <c r="C95" s="159"/>
      <c r="D95" s="125"/>
      <c r="E95" s="146"/>
      <c r="F95" s="146"/>
      <c r="G95" s="146"/>
      <c r="H95" s="146"/>
      <c r="I95" s="146"/>
      <c r="J95" s="146"/>
      <c r="K95" s="126"/>
    </row>
    <row r="96" spans="3:14">
      <c r="C96" s="159"/>
      <c r="E96" s="132"/>
      <c r="F96" s="132"/>
      <c r="G96" s="132"/>
      <c r="H96" s="132"/>
      <c r="I96" s="132"/>
      <c r="J96" s="132"/>
      <c r="K96" s="120"/>
    </row>
    <row r="97" spans="3:11">
      <c r="C97" s="159">
        <f>+C87+0.0001</f>
        <v>1.0405</v>
      </c>
      <c r="D97" s="266" t="str">
        <f>RESUMEN!D24</f>
        <v>RECURSOS PARA RESPUESTAS ANTE EMERGENCIAS EN SEGURIDAD Y SALUD DURANTE EL TRABAJO</v>
      </c>
      <c r="E97" s="132"/>
      <c r="F97" s="132"/>
      <c r="G97" s="132"/>
      <c r="H97" s="132"/>
      <c r="I97" s="132"/>
      <c r="J97" s="132"/>
      <c r="K97" s="120"/>
    </row>
    <row r="98" spans="3:11" ht="14.4" thickBot="1">
      <c r="C98" s="159"/>
      <c r="D98" s="115" t="s">
        <v>19</v>
      </c>
      <c r="E98" s="115" t="s">
        <v>13</v>
      </c>
      <c r="F98" s="116" t="s">
        <v>4</v>
      </c>
      <c r="G98" s="116" t="s">
        <v>5</v>
      </c>
      <c r="H98" s="116" t="s">
        <v>6</v>
      </c>
      <c r="I98" s="116" t="s">
        <v>11</v>
      </c>
      <c r="J98" s="116" t="s">
        <v>7</v>
      </c>
      <c r="K98" s="115" t="s">
        <v>3</v>
      </c>
    </row>
    <row r="99" spans="3:11" ht="14.4" thickTop="1">
      <c r="C99" s="159"/>
      <c r="D99" s="121"/>
      <c r="E99" s="134"/>
      <c r="F99" s="134"/>
      <c r="G99" s="134"/>
      <c r="H99" s="134"/>
      <c r="I99" s="134"/>
      <c r="J99" s="134"/>
      <c r="K99" s="122"/>
    </row>
    <row r="100" spans="3:11" ht="13.8" customHeight="1">
      <c r="C100" s="159"/>
      <c r="D100" s="311" t="s">
        <v>555</v>
      </c>
      <c r="E100" s="134"/>
      <c r="F100" s="134"/>
      <c r="G100" s="134"/>
      <c r="H100" s="134"/>
      <c r="I100" s="134"/>
      <c r="J100" s="134"/>
      <c r="K100" s="122"/>
    </row>
    <row r="101" spans="3:11" ht="13.8" customHeight="1">
      <c r="C101" s="159"/>
      <c r="D101" s="311"/>
      <c r="E101" s="134">
        <v>1</v>
      </c>
      <c r="F101" s="134">
        <v>1</v>
      </c>
      <c r="G101" s="134"/>
      <c r="H101" s="134"/>
      <c r="I101" s="134"/>
      <c r="J101" s="134">
        <f>+PRODUCT(E101:I101)</f>
        <v>1</v>
      </c>
      <c r="K101" s="123" t="s">
        <v>17</v>
      </c>
    </row>
    <row r="102" spans="3:11">
      <c r="C102" s="159"/>
      <c r="D102" s="311"/>
      <c r="E102" s="134"/>
      <c r="F102" s="134"/>
      <c r="G102" s="134"/>
      <c r="H102" s="134"/>
      <c r="I102" s="134"/>
      <c r="J102" s="146"/>
      <c r="K102" s="122"/>
    </row>
    <row r="103" spans="3:11">
      <c r="C103" s="159"/>
      <c r="D103" s="131"/>
      <c r="E103" s="134"/>
      <c r="F103" s="134"/>
      <c r="G103" s="134"/>
      <c r="H103" s="134"/>
      <c r="I103" s="134"/>
      <c r="J103" s="134"/>
      <c r="K103" s="122"/>
    </row>
    <row r="104" spans="3:11" ht="27.6">
      <c r="C104" s="159"/>
      <c r="D104" s="111" t="str">
        <f>+CONCATENATE("TOTAL DE ",+D97)</f>
        <v>TOTAL DE RECURSOS PARA RESPUESTAS ANTE EMERGENCIAS EN SEGURIDAD Y SALUD DURANTE EL TRABAJO</v>
      </c>
      <c r="E104" s="135"/>
      <c r="F104" s="135"/>
      <c r="G104" s="135"/>
      <c r="H104" s="135"/>
      <c r="I104" s="135"/>
      <c r="J104" s="136">
        <f>+SUM(J99:J102)</f>
        <v>1</v>
      </c>
      <c r="K104" s="124" t="str">
        <f>+K101</f>
        <v>GLB</v>
      </c>
    </row>
    <row r="105" spans="3:11">
      <c r="C105" s="159"/>
      <c r="D105" s="125"/>
      <c r="E105" s="146"/>
      <c r="F105" s="146"/>
      <c r="G105" s="146"/>
      <c r="H105" s="146"/>
      <c r="I105" s="146"/>
      <c r="J105" s="146"/>
      <c r="K105" s="126"/>
    </row>
    <row r="106" spans="3:11">
      <c r="C106" s="159"/>
      <c r="E106" s="132"/>
      <c r="F106" s="132"/>
      <c r="G106" s="132"/>
      <c r="H106" s="132"/>
      <c r="I106" s="132"/>
      <c r="J106" s="132"/>
      <c r="K106" s="120"/>
    </row>
    <row r="107" spans="3:11">
      <c r="C107" s="201">
        <f>C9+1</f>
        <v>2</v>
      </c>
      <c r="D107" s="139" t="str">
        <f>RESUMEN!D25</f>
        <v>VEREDAS Y RAMPA</v>
      </c>
      <c r="E107" s="132"/>
      <c r="F107" s="132"/>
      <c r="G107" s="132"/>
      <c r="H107" s="132"/>
      <c r="I107" s="132"/>
      <c r="J107" s="132"/>
      <c r="K107" s="113"/>
    </row>
    <row r="108" spans="3:11">
      <c r="C108" s="158">
        <f>+C107+0.01</f>
        <v>2.0099999999999998</v>
      </c>
      <c r="D108" s="182" t="str">
        <f>VLOOKUP(C108,RESUMEN!C:F,2,FALSE)</f>
        <v>TRABAJOS PRELIMINARES</v>
      </c>
      <c r="E108" s="132"/>
      <c r="F108" s="132"/>
      <c r="G108" s="132"/>
      <c r="H108" s="132"/>
      <c r="I108" s="132"/>
      <c r="J108" s="132"/>
      <c r="K108" s="113"/>
    </row>
    <row r="109" spans="3:11">
      <c r="C109" s="159">
        <f>+C108+0.0001</f>
        <v>2.0101</v>
      </c>
      <c r="D109" s="258" t="str">
        <f>RESUMEN!D57</f>
        <v>TRAZO Y REPLANTEO C/ EQUIPO</v>
      </c>
      <c r="E109" s="132"/>
      <c r="F109" s="132"/>
      <c r="G109" s="132"/>
      <c r="H109" s="132"/>
      <c r="I109" s="132"/>
      <c r="J109" s="132"/>
      <c r="K109" s="120"/>
    </row>
    <row r="110" spans="3:11" ht="14.4" thickBot="1">
      <c r="C110" s="159"/>
      <c r="D110" s="115" t="s">
        <v>19</v>
      </c>
      <c r="E110" s="115" t="s">
        <v>13</v>
      </c>
      <c r="F110" s="116" t="s">
        <v>4</v>
      </c>
      <c r="G110" s="116" t="s">
        <v>5</v>
      </c>
      <c r="H110" s="116" t="s">
        <v>6</v>
      </c>
      <c r="I110" s="116" t="s">
        <v>32</v>
      </c>
      <c r="J110" s="116" t="s">
        <v>7</v>
      </c>
      <c r="K110" s="115" t="s">
        <v>3</v>
      </c>
    </row>
    <row r="111" spans="3:11" ht="8.4" customHeight="1" thickTop="1">
      <c r="C111" s="159"/>
      <c r="D111" s="121"/>
      <c r="E111" s="134"/>
      <c r="F111" s="134"/>
      <c r="G111" s="134"/>
      <c r="H111" s="134"/>
      <c r="I111" s="134"/>
      <c r="J111" s="134"/>
      <c r="K111" s="122"/>
    </row>
    <row r="112" spans="3:11">
      <c r="C112" s="159"/>
      <c r="D112" s="312" t="s">
        <v>306</v>
      </c>
      <c r="E112" s="134"/>
      <c r="F112" s="134"/>
      <c r="G112" s="134"/>
      <c r="H112" s="134"/>
      <c r="I112" s="134"/>
      <c r="J112" s="134"/>
      <c r="K112" s="122"/>
    </row>
    <row r="113" spans="3:14">
      <c r="C113" s="159"/>
      <c r="D113" s="312"/>
      <c r="E113" s="134"/>
      <c r="F113" s="134"/>
      <c r="G113" s="134"/>
      <c r="H113" s="134"/>
      <c r="I113" s="134"/>
      <c r="J113" s="134"/>
      <c r="K113" s="129"/>
    </row>
    <row r="114" spans="3:14" ht="18.600000000000001" customHeight="1">
      <c r="C114" s="159"/>
      <c r="D114" s="184" t="s">
        <v>299</v>
      </c>
      <c r="E114" s="134"/>
      <c r="F114" s="134"/>
      <c r="G114" s="134"/>
      <c r="H114" s="134"/>
      <c r="I114" s="134"/>
      <c r="J114" s="134"/>
      <c r="K114" s="123" t="s">
        <v>10</v>
      </c>
    </row>
    <row r="115" spans="3:14" ht="6" customHeight="1">
      <c r="C115" s="159"/>
      <c r="D115" s="164"/>
      <c r="E115" s="134"/>
      <c r="F115" s="134"/>
      <c r="G115" s="134"/>
      <c r="H115" s="134"/>
      <c r="I115" s="134"/>
      <c r="J115" s="134"/>
      <c r="K115" s="123"/>
    </row>
    <row r="116" spans="3:14">
      <c r="C116" s="159"/>
      <c r="D116" s="130" t="s">
        <v>441</v>
      </c>
      <c r="E116" s="134">
        <v>1</v>
      </c>
      <c r="F116" s="134">
        <v>1</v>
      </c>
      <c r="G116" s="134" t="s">
        <v>59</v>
      </c>
      <c r="H116" s="194">
        <v>43.176499999999997</v>
      </c>
      <c r="I116" s="134"/>
      <c r="J116" s="134">
        <f>+PRODUCT(E116:I116)</f>
        <v>43.176499999999997</v>
      </c>
      <c r="K116" s="123"/>
    </row>
    <row r="117" spans="3:14">
      <c r="C117" s="159"/>
      <c r="D117" s="130" t="s">
        <v>333</v>
      </c>
      <c r="E117" s="134">
        <v>1</v>
      </c>
      <c r="F117" s="134">
        <v>1</v>
      </c>
      <c r="G117" s="134" t="s">
        <v>59</v>
      </c>
      <c r="H117" s="194">
        <v>52.083399999999997</v>
      </c>
      <c r="I117" s="134"/>
      <c r="J117" s="134">
        <f t="shared" ref="J117:J123" si="0">+PRODUCT(E117:I117)</f>
        <v>52.083399999999997</v>
      </c>
      <c r="K117" s="123"/>
    </row>
    <row r="118" spans="3:14">
      <c r="C118" s="159"/>
      <c r="D118" s="130" t="s">
        <v>334</v>
      </c>
      <c r="E118" s="134">
        <v>1</v>
      </c>
      <c r="F118" s="134">
        <v>1</v>
      </c>
      <c r="G118" s="134" t="s">
        <v>59</v>
      </c>
      <c r="H118" s="194">
        <v>25.699400000000001</v>
      </c>
      <c r="I118" s="134"/>
      <c r="J118" s="134">
        <f t="shared" si="0"/>
        <v>25.699400000000001</v>
      </c>
      <c r="K118" s="123"/>
    </row>
    <row r="119" spans="3:14">
      <c r="C119" s="159"/>
      <c r="D119" s="130" t="s">
        <v>341</v>
      </c>
      <c r="E119" s="134">
        <v>1</v>
      </c>
      <c r="F119" s="134">
        <v>1</v>
      </c>
      <c r="G119" s="134" t="s">
        <v>59</v>
      </c>
      <c r="H119" s="194">
        <v>7.9718999999999998</v>
      </c>
      <c r="I119" s="134"/>
      <c r="J119" s="134">
        <f t="shared" si="0"/>
        <v>7.9718999999999998</v>
      </c>
      <c r="K119" s="123"/>
    </row>
    <row r="120" spans="3:14">
      <c r="C120" s="159"/>
      <c r="D120" s="130" t="s">
        <v>340</v>
      </c>
      <c r="E120" s="134">
        <v>1</v>
      </c>
      <c r="F120" s="134">
        <v>1</v>
      </c>
      <c r="G120" s="134" t="s">
        <v>59</v>
      </c>
      <c r="H120" s="194">
        <v>19.5749</v>
      </c>
      <c r="I120" s="134"/>
      <c r="J120" s="134">
        <f t="shared" si="0"/>
        <v>19.5749</v>
      </c>
      <c r="K120" s="123"/>
    </row>
    <row r="121" spans="3:14" ht="13.8" customHeight="1">
      <c r="C121" s="159"/>
      <c r="D121" s="130" t="s">
        <v>337</v>
      </c>
      <c r="E121" s="134">
        <v>1</v>
      </c>
      <c r="F121" s="134">
        <v>6</v>
      </c>
      <c r="G121" s="134" t="s">
        <v>59</v>
      </c>
      <c r="H121" s="194">
        <v>6.65</v>
      </c>
      <c r="I121" s="134"/>
      <c r="J121" s="134">
        <f>+PRODUCT(E121:I121)</f>
        <v>39.900000000000006</v>
      </c>
      <c r="K121" s="123"/>
      <c r="M121" s="117"/>
      <c r="N121" s="128"/>
    </row>
    <row r="122" spans="3:14">
      <c r="C122" s="159"/>
      <c r="D122" s="130" t="s">
        <v>338</v>
      </c>
      <c r="E122" s="134">
        <v>1</v>
      </c>
      <c r="F122" s="134">
        <v>2</v>
      </c>
      <c r="G122" s="134" t="s">
        <v>59</v>
      </c>
      <c r="H122" s="194">
        <v>3.35</v>
      </c>
      <c r="I122" s="134"/>
      <c r="J122" s="134">
        <f t="shared" si="0"/>
        <v>6.7</v>
      </c>
      <c r="K122" s="123"/>
      <c r="M122" s="139"/>
      <c r="N122" s="128"/>
    </row>
    <row r="123" spans="3:14">
      <c r="C123" s="159"/>
      <c r="D123" s="130" t="s">
        <v>382</v>
      </c>
      <c r="E123" s="134">
        <v>1</v>
      </c>
      <c r="F123" s="134">
        <v>1</v>
      </c>
      <c r="G123" s="134" t="s">
        <v>59</v>
      </c>
      <c r="H123" s="194">
        <v>4.5599999999999996</v>
      </c>
      <c r="I123" s="134"/>
      <c r="J123" s="134">
        <f t="shared" si="0"/>
        <v>4.5599999999999996</v>
      </c>
      <c r="K123" s="123"/>
      <c r="M123" s="141"/>
      <c r="N123" s="141"/>
    </row>
    <row r="124" spans="3:14" ht="9" customHeight="1">
      <c r="C124" s="159"/>
      <c r="D124" s="133"/>
      <c r="E124" s="134"/>
      <c r="F124" s="134"/>
      <c r="G124" s="134"/>
      <c r="H124" s="134"/>
      <c r="I124" s="134"/>
      <c r="J124" s="134"/>
      <c r="K124" s="122"/>
      <c r="M124" s="141"/>
      <c r="N124" s="141"/>
    </row>
    <row r="125" spans="3:14">
      <c r="C125" s="159"/>
      <c r="D125" s="245" t="str">
        <f>+CONCATENATE("TOTAL DE ",D109)</f>
        <v>TOTAL DE TRAZO Y REPLANTEO C/ EQUIPO</v>
      </c>
      <c r="E125" s="270"/>
      <c r="F125" s="270"/>
      <c r="G125" s="270"/>
      <c r="H125" s="270"/>
      <c r="I125" s="270"/>
      <c r="J125" s="241">
        <f>+SUM(J111:J124)</f>
        <v>199.6661</v>
      </c>
      <c r="K125" s="271" t="str">
        <f>+K114</f>
        <v>M2</v>
      </c>
    </row>
    <row r="126" spans="3:14">
      <c r="C126" s="159"/>
      <c r="E126" s="132"/>
      <c r="F126" s="132"/>
      <c r="G126" s="132"/>
      <c r="H126" s="132"/>
      <c r="I126" s="132"/>
      <c r="J126" s="132"/>
      <c r="K126" s="120"/>
    </row>
    <row r="127" spans="3:14">
      <c r="C127" s="159">
        <f>+C109+0.0001</f>
        <v>2.0102000000000002</v>
      </c>
      <c r="D127" s="258" t="str">
        <f>RESUMEN!D28</f>
        <v>DEMOLICION DE CONCRETO DE VEREDA EXISTENTE C/EQUIPO, e=0.10m</v>
      </c>
      <c r="E127" s="132"/>
      <c r="F127" s="132"/>
      <c r="G127" s="132"/>
      <c r="H127" s="132"/>
      <c r="I127" s="132"/>
      <c r="J127" s="132"/>
      <c r="K127" s="120"/>
    </row>
    <row r="128" spans="3:14" ht="14.4" thickBot="1">
      <c r="C128" s="159"/>
      <c r="D128" s="115" t="s">
        <v>19</v>
      </c>
      <c r="E128" s="115" t="s">
        <v>13</v>
      </c>
      <c r="F128" s="116" t="s">
        <v>4</v>
      </c>
      <c r="G128" s="116" t="s">
        <v>5</v>
      </c>
      <c r="H128" s="116" t="s">
        <v>6</v>
      </c>
      <c r="I128" s="116" t="s">
        <v>32</v>
      </c>
      <c r="J128" s="116" t="s">
        <v>7</v>
      </c>
      <c r="K128" s="115" t="s">
        <v>3</v>
      </c>
    </row>
    <row r="129" spans="3:11" ht="14.4" thickTop="1">
      <c r="C129" s="159"/>
      <c r="D129" s="121"/>
      <c r="E129" s="134"/>
      <c r="F129" s="134"/>
      <c r="G129" s="134"/>
      <c r="H129" s="134"/>
      <c r="I129" s="134"/>
      <c r="J129" s="134"/>
      <c r="K129" s="122"/>
    </row>
    <row r="130" spans="3:11">
      <c r="C130" s="159"/>
      <c r="D130" s="198" t="s">
        <v>442</v>
      </c>
      <c r="E130" s="134"/>
      <c r="F130" s="134"/>
      <c r="G130" s="134"/>
      <c r="H130" s="134"/>
      <c r="I130" s="134"/>
      <c r="J130" s="134"/>
      <c r="K130" s="122"/>
    </row>
    <row r="131" spans="3:11" ht="12.6" customHeight="1">
      <c r="C131" s="159"/>
      <c r="D131" s="198"/>
      <c r="E131" s="134"/>
      <c r="F131" s="134"/>
      <c r="G131" s="134"/>
      <c r="H131" s="134"/>
      <c r="I131" s="134"/>
      <c r="J131" s="134"/>
      <c r="K131" s="129"/>
    </row>
    <row r="132" spans="3:11">
      <c r="C132" s="159"/>
      <c r="D132" s="130" t="s">
        <v>350</v>
      </c>
      <c r="E132" s="134">
        <v>1</v>
      </c>
      <c r="F132" s="134" t="s">
        <v>56</v>
      </c>
      <c r="G132" s="134">
        <v>26.9602</v>
      </c>
      <c r="H132" s="114"/>
      <c r="I132" s="134"/>
      <c r="J132" s="134">
        <f>+PRODUCT(E132:I132)</f>
        <v>26.9602</v>
      </c>
      <c r="K132" s="123" t="s">
        <v>10</v>
      </c>
    </row>
    <row r="133" spans="3:11">
      <c r="C133" s="159"/>
      <c r="D133" s="131"/>
      <c r="E133" s="134"/>
      <c r="F133" s="134"/>
      <c r="G133" s="134"/>
      <c r="H133" s="134"/>
      <c r="I133" s="134"/>
      <c r="J133" s="134"/>
      <c r="K133" s="123"/>
    </row>
    <row r="134" spans="3:11" ht="27.6">
      <c r="C134" s="159"/>
      <c r="D134" s="111" t="str">
        <f>+CONCATENATE("TOTAL DE ",D127)</f>
        <v>TOTAL DE DEMOLICION DE CONCRETO DE VEREDA EXISTENTE C/EQUIPO, e=0.10m</v>
      </c>
      <c r="E134" s="135"/>
      <c r="F134" s="135"/>
      <c r="G134" s="135"/>
      <c r="H134" s="135"/>
      <c r="I134" s="135"/>
      <c r="J134" s="136">
        <f>SUM(J132:J132)</f>
        <v>26.9602</v>
      </c>
      <c r="K134" s="124" t="str">
        <f>+K132</f>
        <v>M2</v>
      </c>
    </row>
    <row r="135" spans="3:11">
      <c r="C135" s="159"/>
      <c r="D135" s="125"/>
      <c r="E135" s="146"/>
      <c r="F135" s="146"/>
      <c r="G135" s="146"/>
      <c r="H135" s="146"/>
      <c r="I135" s="146"/>
      <c r="J135" s="146"/>
      <c r="K135" s="126"/>
    </row>
    <row r="136" spans="3:11">
      <c r="C136" s="159"/>
      <c r="E136" s="132"/>
      <c r="F136" s="132"/>
      <c r="G136" s="132"/>
      <c r="H136" s="132"/>
      <c r="I136" s="132"/>
      <c r="J136" s="132"/>
      <c r="K136" s="120"/>
    </row>
    <row r="137" spans="3:11">
      <c r="C137" s="159">
        <f>+C127+0.0001</f>
        <v>2.0103000000000004</v>
      </c>
      <c r="D137" s="258" t="str">
        <f>RESUMEN!D59</f>
        <v xml:space="preserve">ELIMINACIÓN DE MATERIAL  EXCEDENTES C/VOLQUETE DE 15M3 D= 25KM </v>
      </c>
      <c r="E137" s="132"/>
      <c r="F137" s="132"/>
      <c r="G137" s="132"/>
      <c r="H137" s="132"/>
      <c r="I137" s="132"/>
      <c r="J137" s="132"/>
      <c r="K137" s="120"/>
    </row>
    <row r="138" spans="3:11" ht="14.4" thickBot="1">
      <c r="C138" s="199"/>
      <c r="D138" s="115" t="s">
        <v>19</v>
      </c>
      <c r="E138" s="115" t="s">
        <v>13</v>
      </c>
      <c r="F138" s="116" t="s">
        <v>4</v>
      </c>
      <c r="G138" s="116" t="s">
        <v>5</v>
      </c>
      <c r="H138" s="116" t="s">
        <v>6</v>
      </c>
      <c r="I138" s="116" t="s">
        <v>32</v>
      </c>
      <c r="J138" s="116" t="s">
        <v>7</v>
      </c>
      <c r="K138" s="115" t="s">
        <v>3</v>
      </c>
    </row>
    <row r="139" spans="3:11" ht="14.4" thickTop="1">
      <c r="C139" s="199"/>
      <c r="D139" s="121"/>
      <c r="E139" s="134"/>
      <c r="F139" s="134"/>
      <c r="G139" s="134"/>
      <c r="H139" s="134"/>
      <c r="I139" s="134"/>
      <c r="J139" s="134"/>
      <c r="K139" s="122"/>
    </row>
    <row r="140" spans="3:11">
      <c r="C140" s="199"/>
      <c r="D140" s="198" t="s">
        <v>443</v>
      </c>
      <c r="E140" s="134"/>
      <c r="F140" s="134"/>
      <c r="G140" s="134"/>
      <c r="H140" s="134"/>
      <c r="I140" s="134"/>
      <c r="J140" s="134"/>
      <c r="K140" s="122"/>
    </row>
    <row r="141" spans="3:11">
      <c r="C141" s="199"/>
      <c r="D141" s="198"/>
      <c r="E141" s="134"/>
      <c r="F141" s="134"/>
      <c r="G141" s="134"/>
      <c r="H141" s="134"/>
      <c r="I141" s="134"/>
      <c r="J141" s="134"/>
      <c r="K141" s="129"/>
    </row>
    <row r="142" spans="3:11">
      <c r="C142" s="199"/>
      <c r="D142" s="230" t="s">
        <v>351</v>
      </c>
      <c r="E142" s="134">
        <v>1.25</v>
      </c>
      <c r="F142" s="134" t="s">
        <v>59</v>
      </c>
      <c r="G142" s="134">
        <f>+J134</f>
        <v>26.9602</v>
      </c>
      <c r="H142" s="134"/>
      <c r="I142" s="134">
        <v>0.1</v>
      </c>
      <c r="J142" s="134">
        <f>I142*G142*E142</f>
        <v>3.3700250000000005</v>
      </c>
      <c r="K142" s="123" t="s">
        <v>12</v>
      </c>
    </row>
    <row r="143" spans="3:11">
      <c r="C143" s="199"/>
      <c r="D143" s="130"/>
      <c r="E143" s="134"/>
      <c r="F143" s="134"/>
      <c r="G143" s="134"/>
      <c r="H143" s="134"/>
      <c r="I143" s="134"/>
      <c r="J143" s="134"/>
      <c r="K143" s="123"/>
    </row>
    <row r="144" spans="3:11" ht="27.6">
      <c r="C144" s="199"/>
      <c r="D144" s="245" t="str">
        <f>+CONCATENATE("TOTAL DE ",D137)</f>
        <v xml:space="preserve">TOTAL DE ELIMINACIÓN DE MATERIAL  EXCEDENTES C/VOLQUETE DE 15M3 D= 25KM </v>
      </c>
      <c r="E144" s="270"/>
      <c r="F144" s="270"/>
      <c r="G144" s="270"/>
      <c r="H144" s="270"/>
      <c r="I144" s="270"/>
      <c r="J144" s="241">
        <f>+J142</f>
        <v>3.3700250000000005</v>
      </c>
      <c r="K144" s="271" t="str">
        <f>+K142</f>
        <v>M3</v>
      </c>
    </row>
    <row r="145" spans="3:11">
      <c r="C145" s="199"/>
      <c r="E145" s="132"/>
      <c r="F145" s="132"/>
      <c r="G145" s="132"/>
      <c r="H145" s="132"/>
      <c r="I145" s="132"/>
      <c r="J145" s="132"/>
      <c r="K145" s="120"/>
    </row>
    <row r="146" spans="3:11">
      <c r="C146" s="158">
        <f>+C108+0.01</f>
        <v>2.0199999999999996</v>
      </c>
      <c r="D146" s="257" t="str">
        <f>RESUMEN!D60</f>
        <v>MOVIMIENTO DE TIERRAS</v>
      </c>
      <c r="E146" s="132"/>
      <c r="F146" s="132"/>
      <c r="G146" s="132"/>
      <c r="H146" s="132"/>
      <c r="I146" s="132"/>
      <c r="J146" s="132"/>
      <c r="K146" s="113"/>
    </row>
    <row r="147" spans="3:11">
      <c r="C147" s="159">
        <f>+C146+0.0001</f>
        <v>2.0200999999999998</v>
      </c>
      <c r="D147" s="258" t="str">
        <f>RESUMEN!D31</f>
        <v xml:space="preserve"> EXCAVACIÓN A MANO EN TERRENO NORMAL PARA VEREDAS PISO GIMNASIO, PISO DE BANCAS, RAMPAS</v>
      </c>
      <c r="E147" s="132"/>
      <c r="F147" s="132"/>
      <c r="G147" s="132"/>
      <c r="H147" s="132"/>
      <c r="I147" s="132"/>
      <c r="J147" s="132"/>
      <c r="K147" s="120"/>
    </row>
    <row r="148" spans="3:11" ht="14.4" thickBot="1">
      <c r="C148" s="159"/>
      <c r="D148" s="115" t="s">
        <v>19</v>
      </c>
      <c r="E148" s="115" t="s">
        <v>13</v>
      </c>
      <c r="F148" s="116" t="s">
        <v>4</v>
      </c>
      <c r="G148" s="116" t="s">
        <v>5</v>
      </c>
      <c r="H148" s="116" t="s">
        <v>6</v>
      </c>
      <c r="I148" s="116" t="s">
        <v>11</v>
      </c>
      <c r="J148" s="116" t="s">
        <v>7</v>
      </c>
      <c r="K148" s="115" t="s">
        <v>3</v>
      </c>
    </row>
    <row r="149" spans="3:11" ht="14.4" thickTop="1">
      <c r="C149" s="159"/>
      <c r="D149" s="121"/>
      <c r="E149" s="134"/>
      <c r="F149" s="134"/>
      <c r="G149" s="134"/>
      <c r="H149" s="134"/>
      <c r="I149" s="134"/>
      <c r="J149" s="134"/>
      <c r="K149" s="122"/>
    </row>
    <row r="150" spans="3:11">
      <c r="C150" s="159"/>
      <c r="D150" s="311" t="s">
        <v>57</v>
      </c>
      <c r="E150" s="134"/>
      <c r="F150" s="134"/>
      <c r="G150" s="134"/>
      <c r="H150" s="134"/>
      <c r="I150" s="134"/>
      <c r="J150" s="134"/>
      <c r="K150" s="122"/>
    </row>
    <row r="151" spans="3:11">
      <c r="C151" s="159"/>
      <c r="D151" s="311"/>
      <c r="E151" s="134"/>
      <c r="F151" s="134"/>
      <c r="G151" s="134"/>
      <c r="H151" s="134"/>
      <c r="I151" s="134"/>
      <c r="J151" s="134"/>
      <c r="K151" s="129"/>
    </row>
    <row r="152" spans="3:11">
      <c r="C152" s="159"/>
      <c r="D152" s="184" t="s">
        <v>31</v>
      </c>
      <c r="E152" s="134"/>
      <c r="F152" s="134"/>
      <c r="G152" s="134"/>
      <c r="H152" s="134"/>
      <c r="I152" s="134"/>
      <c r="J152" s="134"/>
      <c r="K152" s="163" t="s">
        <v>12</v>
      </c>
    </row>
    <row r="153" spans="3:11">
      <c r="C153" s="159"/>
      <c r="D153" s="130" t="s">
        <v>441</v>
      </c>
      <c r="E153" s="134">
        <v>1</v>
      </c>
      <c r="F153" s="134">
        <v>1</v>
      </c>
      <c r="G153" s="134" t="s">
        <v>56</v>
      </c>
      <c r="H153" s="134">
        <f t="shared" ref="H153:H160" si="1">H116</f>
        <v>43.176499999999997</v>
      </c>
      <c r="I153" s="134">
        <v>0.1</v>
      </c>
      <c r="J153" s="134">
        <f>PRODUCT(E153:I153)</f>
        <v>4.3176499999999995</v>
      </c>
      <c r="K153" s="123"/>
    </row>
    <row r="154" spans="3:11">
      <c r="C154" s="159"/>
      <c r="D154" s="130" t="s">
        <v>333</v>
      </c>
      <c r="E154" s="134">
        <v>1</v>
      </c>
      <c r="F154" s="134">
        <v>1</v>
      </c>
      <c r="G154" s="134" t="s">
        <v>56</v>
      </c>
      <c r="H154" s="134">
        <f t="shared" si="1"/>
        <v>52.083399999999997</v>
      </c>
      <c r="I154" s="134">
        <v>0.1</v>
      </c>
      <c r="J154" s="134">
        <f t="shared" ref="J154:J159" si="2">+PRODUCT(E154:I154)</f>
        <v>5.2083399999999997</v>
      </c>
      <c r="K154" s="123"/>
    </row>
    <row r="155" spans="3:11">
      <c r="C155" s="159"/>
      <c r="D155" s="130" t="s">
        <v>334</v>
      </c>
      <c r="E155" s="134">
        <v>1</v>
      </c>
      <c r="F155" s="134">
        <v>1</v>
      </c>
      <c r="G155" s="134" t="s">
        <v>56</v>
      </c>
      <c r="H155" s="134">
        <f t="shared" si="1"/>
        <v>25.699400000000001</v>
      </c>
      <c r="I155" s="134">
        <v>0.1</v>
      </c>
      <c r="J155" s="134">
        <f t="shared" si="2"/>
        <v>2.5699400000000003</v>
      </c>
      <c r="K155" s="123"/>
    </row>
    <row r="156" spans="3:11">
      <c r="C156" s="159"/>
      <c r="D156" s="130" t="s">
        <v>341</v>
      </c>
      <c r="E156" s="134">
        <v>1</v>
      </c>
      <c r="F156" s="134">
        <v>1</v>
      </c>
      <c r="G156" s="134" t="s">
        <v>56</v>
      </c>
      <c r="H156" s="134">
        <f t="shared" si="1"/>
        <v>7.9718999999999998</v>
      </c>
      <c r="I156" s="134">
        <v>0.1</v>
      </c>
      <c r="J156" s="134">
        <f t="shared" si="2"/>
        <v>0.79719000000000007</v>
      </c>
      <c r="K156" s="123"/>
    </row>
    <row r="157" spans="3:11">
      <c r="C157" s="159"/>
      <c r="D157" s="130" t="s">
        <v>340</v>
      </c>
      <c r="E157" s="134">
        <v>1</v>
      </c>
      <c r="F157" s="134">
        <v>1</v>
      </c>
      <c r="G157" s="134" t="s">
        <v>56</v>
      </c>
      <c r="H157" s="134">
        <f t="shared" si="1"/>
        <v>19.5749</v>
      </c>
      <c r="I157" s="134">
        <v>0.1</v>
      </c>
      <c r="J157" s="134">
        <f t="shared" si="2"/>
        <v>1.95749</v>
      </c>
      <c r="K157" s="123"/>
    </row>
    <row r="158" spans="3:11">
      <c r="C158" s="159"/>
      <c r="D158" s="130" t="s">
        <v>337</v>
      </c>
      <c r="E158" s="134">
        <v>1</v>
      </c>
      <c r="F158" s="134">
        <v>6</v>
      </c>
      <c r="G158" s="134" t="s">
        <v>56</v>
      </c>
      <c r="H158" s="134">
        <f t="shared" si="1"/>
        <v>6.65</v>
      </c>
      <c r="I158" s="134">
        <v>0.1</v>
      </c>
      <c r="J158" s="134">
        <f t="shared" si="2"/>
        <v>3.9900000000000007</v>
      </c>
      <c r="K158" s="123"/>
    </row>
    <row r="159" spans="3:11">
      <c r="C159" s="159"/>
      <c r="D159" s="130" t="s">
        <v>338</v>
      </c>
      <c r="E159" s="134">
        <v>1</v>
      </c>
      <c r="F159" s="134">
        <v>2</v>
      </c>
      <c r="G159" s="134" t="s">
        <v>56</v>
      </c>
      <c r="H159" s="134">
        <f t="shared" si="1"/>
        <v>3.35</v>
      </c>
      <c r="I159" s="134">
        <v>0.1</v>
      </c>
      <c r="J159" s="134">
        <f t="shared" si="2"/>
        <v>0.67</v>
      </c>
      <c r="K159" s="123"/>
    </row>
    <row r="160" spans="3:11">
      <c r="C160" s="159"/>
      <c r="D160" s="130" t="s">
        <v>382</v>
      </c>
      <c r="E160" s="134">
        <v>1</v>
      </c>
      <c r="F160" s="134">
        <v>1</v>
      </c>
      <c r="G160" s="134" t="s">
        <v>59</v>
      </c>
      <c r="H160" s="194">
        <f t="shared" si="1"/>
        <v>4.5599999999999996</v>
      </c>
      <c r="I160" s="134">
        <v>0.1</v>
      </c>
      <c r="J160" s="134">
        <f>+PRODUCT(E160:I160)</f>
        <v>0.45599999999999996</v>
      </c>
      <c r="K160" s="123"/>
    </row>
    <row r="161" spans="3:11">
      <c r="C161" s="159"/>
      <c r="D161" s="131"/>
      <c r="E161" s="134"/>
      <c r="F161" s="114"/>
      <c r="G161" s="134"/>
      <c r="H161" s="134"/>
      <c r="I161" s="134"/>
      <c r="J161" s="134"/>
      <c r="K161" s="122"/>
    </row>
    <row r="162" spans="3:11">
      <c r="C162" s="159"/>
      <c r="D162" s="111" t="str">
        <f>+CONCATENATE("TOTAL DE ",D146)</f>
        <v>TOTAL DE MOVIMIENTO DE TIERRAS</v>
      </c>
      <c r="E162" s="135"/>
      <c r="F162" s="135"/>
      <c r="G162" s="135"/>
      <c r="H162" s="135"/>
      <c r="I162" s="135"/>
      <c r="J162" s="136">
        <f>+SUM(J149:J161)</f>
        <v>19.966610000000003</v>
      </c>
      <c r="K162" s="124" t="str">
        <f>+K152</f>
        <v>M3</v>
      </c>
    </row>
    <row r="163" spans="3:11">
      <c r="C163" s="159"/>
      <c r="D163" s="125"/>
      <c r="E163" s="146"/>
      <c r="F163" s="146"/>
      <c r="G163" s="146"/>
      <c r="H163" s="146"/>
      <c r="I163" s="146"/>
      <c r="J163" s="146"/>
      <c r="K163" s="126"/>
    </row>
    <row r="164" spans="3:11">
      <c r="C164" s="159"/>
      <c r="E164" s="132"/>
      <c r="F164" s="132"/>
      <c r="G164" s="132"/>
      <c r="H164" s="132"/>
      <c r="I164" s="132"/>
      <c r="J164" s="132"/>
      <c r="K164" s="120"/>
    </row>
    <row r="165" spans="3:11">
      <c r="C165" s="159">
        <f>C147+0.0001</f>
        <v>2.0202</v>
      </c>
      <c r="D165" s="258" t="str">
        <f>RESUMEN!D62</f>
        <v xml:space="preserve">ELIMINACIÓN DE MATERIAL EXCEDENTE C/VOLQUETE DE 15M3 D= 25KM </v>
      </c>
      <c r="E165" s="132"/>
      <c r="F165" s="132"/>
      <c r="G165" s="132"/>
      <c r="H165" s="132"/>
      <c r="I165" s="132"/>
      <c r="J165" s="132"/>
      <c r="K165" s="120"/>
    </row>
    <row r="166" spans="3:11" ht="13.8" customHeight="1" thickBot="1">
      <c r="C166" s="159"/>
      <c r="D166" s="115" t="s">
        <v>19</v>
      </c>
      <c r="E166" s="115" t="s">
        <v>13</v>
      </c>
      <c r="F166" s="116" t="s">
        <v>4</v>
      </c>
      <c r="G166" s="116" t="s">
        <v>5</v>
      </c>
      <c r="H166" s="116" t="s">
        <v>6</v>
      </c>
      <c r="I166" s="116" t="s">
        <v>11</v>
      </c>
      <c r="J166" s="116" t="s">
        <v>7</v>
      </c>
      <c r="K166" s="115" t="s">
        <v>3</v>
      </c>
    </row>
    <row r="167" spans="3:11" ht="14.4" thickTop="1">
      <c r="C167" s="159"/>
      <c r="D167" s="312" t="s">
        <v>354</v>
      </c>
      <c r="E167" s="134"/>
      <c r="F167" s="134"/>
      <c r="G167" s="134"/>
      <c r="H167" s="134"/>
      <c r="I167" s="134"/>
      <c r="J167" s="134"/>
      <c r="K167" s="122"/>
    </row>
    <row r="168" spans="3:11">
      <c r="C168" s="159"/>
      <c r="D168" s="312"/>
      <c r="E168" s="134"/>
      <c r="F168" s="134"/>
      <c r="G168" s="134"/>
      <c r="H168" s="134"/>
      <c r="I168" s="134"/>
      <c r="J168" s="134"/>
      <c r="K168" s="129"/>
    </row>
    <row r="169" spans="3:11">
      <c r="C169" s="159"/>
      <c r="D169" s="312"/>
      <c r="E169" s="134"/>
      <c r="F169" s="134"/>
      <c r="G169" s="134"/>
      <c r="H169" s="134"/>
      <c r="I169" s="134"/>
      <c r="J169" s="148"/>
      <c r="K169" s="122"/>
    </row>
    <row r="170" spans="3:11">
      <c r="C170" s="159"/>
      <c r="D170" s="231" t="s">
        <v>355</v>
      </c>
      <c r="E170" s="134">
        <v>1.25</v>
      </c>
      <c r="F170" s="134">
        <v>1</v>
      </c>
      <c r="G170" s="134" t="s">
        <v>15</v>
      </c>
      <c r="H170" s="134">
        <f>J162</f>
        <v>19.966610000000003</v>
      </c>
      <c r="I170" s="134"/>
      <c r="J170" s="134">
        <f>E170*H170*F170</f>
        <v>24.958262500000004</v>
      </c>
      <c r="K170" s="123" t="s">
        <v>12</v>
      </c>
    </row>
    <row r="171" spans="3:11" ht="8.4" customHeight="1">
      <c r="C171" s="159"/>
      <c r="D171" s="131"/>
      <c r="E171" s="134"/>
      <c r="F171" s="134"/>
      <c r="G171" s="134"/>
      <c r="H171" s="134"/>
      <c r="I171" s="134"/>
      <c r="J171" s="134"/>
      <c r="K171" s="122"/>
    </row>
    <row r="172" spans="3:11" ht="27.6">
      <c r="C172" s="159"/>
      <c r="D172" s="110" t="str">
        <f>+CONCATENATE("TOTAL DE ",D165)</f>
        <v xml:space="preserve">TOTAL DE ELIMINACIÓN DE MATERIAL EXCEDENTE C/VOLQUETE DE 15M3 D= 25KM </v>
      </c>
      <c r="E172" s="135"/>
      <c r="F172" s="135"/>
      <c r="G172" s="135"/>
      <c r="H172" s="135"/>
      <c r="I172" s="135"/>
      <c r="J172" s="136">
        <f>+SUM(J167:J171)</f>
        <v>24.958262500000004</v>
      </c>
      <c r="K172" s="124" t="str">
        <f>+K170</f>
        <v>M3</v>
      </c>
    </row>
    <row r="173" spans="3:11" ht="6" customHeight="1">
      <c r="C173" s="159"/>
      <c r="D173" s="125"/>
      <c r="E173" s="146"/>
      <c r="F173" s="146"/>
      <c r="G173" s="146"/>
      <c r="H173" s="146"/>
      <c r="I173" s="146"/>
      <c r="J173" s="146"/>
      <c r="K173" s="126"/>
    </row>
    <row r="174" spans="3:11">
      <c r="C174" s="159"/>
      <c r="E174" s="132"/>
      <c r="F174" s="132"/>
      <c r="G174" s="132"/>
      <c r="H174" s="132"/>
      <c r="I174" s="132"/>
      <c r="J174" s="132"/>
      <c r="K174" s="120"/>
    </row>
    <row r="175" spans="3:11">
      <c r="C175" s="159">
        <f>C165+0.0001</f>
        <v>2.0203000000000002</v>
      </c>
      <c r="D175" s="258" t="str">
        <f>RESUMEN!D63</f>
        <v>CONFORMACION Y COMPACTACIÓN DE SUBRASANTE CON MOTONIVELADORA 125HP</v>
      </c>
      <c r="E175" s="132"/>
      <c r="F175" s="132"/>
      <c r="G175" s="132"/>
      <c r="H175" s="132"/>
      <c r="I175" s="132"/>
      <c r="J175" s="132"/>
      <c r="K175" s="120"/>
    </row>
    <row r="176" spans="3:11" ht="14.4" thickBot="1">
      <c r="C176" s="159"/>
      <c r="D176" s="115" t="s">
        <v>19</v>
      </c>
      <c r="E176" s="115" t="s">
        <v>13</v>
      </c>
      <c r="F176" s="116" t="s">
        <v>4</v>
      </c>
      <c r="G176" s="116" t="s">
        <v>5</v>
      </c>
      <c r="H176" s="116" t="s">
        <v>6</v>
      </c>
      <c r="I176" s="116" t="s">
        <v>11</v>
      </c>
      <c r="J176" s="116" t="s">
        <v>7</v>
      </c>
      <c r="K176" s="115" t="s">
        <v>3</v>
      </c>
    </row>
    <row r="177" spans="3:11" ht="9" customHeight="1" thickTop="1">
      <c r="C177" s="159"/>
      <c r="D177" s="121"/>
      <c r="E177" s="134"/>
      <c r="F177" s="134"/>
      <c r="G177" s="134"/>
      <c r="H177" s="134"/>
      <c r="I177" s="134"/>
      <c r="J177" s="134"/>
      <c r="K177" s="122"/>
    </row>
    <row r="178" spans="3:11">
      <c r="C178" s="159"/>
      <c r="D178" s="311" t="s">
        <v>23</v>
      </c>
      <c r="E178" s="134"/>
      <c r="F178" s="134"/>
      <c r="G178" s="134"/>
      <c r="H178" s="134"/>
      <c r="I178" s="134"/>
      <c r="J178" s="134"/>
      <c r="K178" s="122"/>
    </row>
    <row r="179" spans="3:11">
      <c r="C179" s="159"/>
      <c r="D179" s="311"/>
      <c r="E179" s="134"/>
      <c r="F179" s="134"/>
      <c r="G179" s="134"/>
      <c r="H179" s="134"/>
      <c r="I179" s="134"/>
      <c r="J179" s="134"/>
      <c r="K179" s="129"/>
    </row>
    <row r="180" spans="3:11">
      <c r="C180" s="159"/>
      <c r="D180" s="311"/>
      <c r="E180" s="134"/>
      <c r="F180" s="134"/>
      <c r="G180" s="134"/>
      <c r="H180" s="134"/>
      <c r="I180" s="134"/>
      <c r="J180" s="148"/>
      <c r="K180" s="122"/>
    </row>
    <row r="181" spans="3:11">
      <c r="C181" s="159"/>
      <c r="D181" s="184" t="s">
        <v>31</v>
      </c>
      <c r="E181" s="134"/>
      <c r="F181" s="134"/>
      <c r="G181" s="134"/>
      <c r="H181" s="134"/>
      <c r="I181" s="134"/>
      <c r="J181" s="134"/>
      <c r="K181" s="191" t="s">
        <v>10</v>
      </c>
    </row>
    <row r="182" spans="3:11" ht="8.4" customHeight="1">
      <c r="C182" s="159"/>
      <c r="D182" s="140"/>
      <c r="E182" s="134"/>
      <c r="F182" s="134"/>
      <c r="G182" s="134"/>
      <c r="H182" s="134"/>
      <c r="I182" s="134"/>
      <c r="J182" s="134"/>
      <c r="K182" s="122"/>
    </row>
    <row r="183" spans="3:11">
      <c r="C183" s="159"/>
      <c r="D183" s="130" t="s">
        <v>441</v>
      </c>
      <c r="E183" s="134">
        <v>1</v>
      </c>
      <c r="F183" s="134">
        <v>1</v>
      </c>
      <c r="G183" s="134" t="s">
        <v>56</v>
      </c>
      <c r="H183" s="288">
        <f>H116</f>
        <v>43.176499999999997</v>
      </c>
      <c r="I183" s="134"/>
      <c r="J183" s="134">
        <f>+F183*H183*E183</f>
        <v>43.176499999999997</v>
      </c>
      <c r="K183" s="123"/>
    </row>
    <row r="184" spans="3:11">
      <c r="C184" s="159"/>
      <c r="D184" s="130" t="s">
        <v>333</v>
      </c>
      <c r="E184" s="134">
        <v>1</v>
      </c>
      <c r="F184" s="134">
        <v>1</v>
      </c>
      <c r="G184" s="134" t="s">
        <v>56</v>
      </c>
      <c r="H184" s="134">
        <f>H117</f>
        <v>52.083399999999997</v>
      </c>
      <c r="I184" s="134"/>
      <c r="J184" s="134">
        <f t="shared" ref="J184:J190" si="3">+F184*H184*E184</f>
        <v>52.083399999999997</v>
      </c>
      <c r="K184" s="123"/>
    </row>
    <row r="185" spans="3:11">
      <c r="C185" s="159"/>
      <c r="D185" s="130" t="s">
        <v>334</v>
      </c>
      <c r="E185" s="134">
        <v>1</v>
      </c>
      <c r="F185" s="134">
        <v>1</v>
      </c>
      <c r="G185" s="134" t="s">
        <v>56</v>
      </c>
      <c r="H185" s="134">
        <f>H118</f>
        <v>25.699400000000001</v>
      </c>
      <c r="I185" s="134"/>
      <c r="J185" s="134">
        <f t="shared" si="3"/>
        <v>25.699400000000001</v>
      </c>
      <c r="K185" s="123"/>
    </row>
    <row r="186" spans="3:11">
      <c r="C186" s="159"/>
      <c r="D186" s="130" t="s">
        <v>341</v>
      </c>
      <c r="E186" s="134">
        <v>1</v>
      </c>
      <c r="F186" s="134">
        <v>1</v>
      </c>
      <c r="G186" s="134" t="s">
        <v>56</v>
      </c>
      <c r="H186" s="134">
        <f>H156</f>
        <v>7.9718999999999998</v>
      </c>
      <c r="I186" s="134"/>
      <c r="J186" s="134">
        <f t="shared" si="3"/>
        <v>7.9718999999999998</v>
      </c>
      <c r="K186" s="123"/>
    </row>
    <row r="187" spans="3:11">
      <c r="C187" s="159"/>
      <c r="D187" s="130" t="s">
        <v>340</v>
      </c>
      <c r="E187" s="134">
        <v>1</v>
      </c>
      <c r="F187" s="134">
        <v>1</v>
      </c>
      <c r="G187" s="134" t="s">
        <v>56</v>
      </c>
      <c r="H187" s="134">
        <f>H157</f>
        <v>19.5749</v>
      </c>
      <c r="I187" s="134"/>
      <c r="J187" s="134">
        <f t="shared" si="3"/>
        <v>19.5749</v>
      </c>
      <c r="K187" s="123"/>
    </row>
    <row r="188" spans="3:11">
      <c r="C188" s="159"/>
      <c r="D188" s="130" t="s">
        <v>337</v>
      </c>
      <c r="E188" s="134">
        <v>1</v>
      </c>
      <c r="F188" s="134">
        <v>6</v>
      </c>
      <c r="G188" s="134" t="s">
        <v>56</v>
      </c>
      <c r="H188" s="134">
        <f>H158</f>
        <v>6.65</v>
      </c>
      <c r="I188" s="134"/>
      <c r="J188" s="134">
        <f t="shared" si="3"/>
        <v>39.900000000000006</v>
      </c>
      <c r="K188" s="123"/>
    </row>
    <row r="189" spans="3:11">
      <c r="C189" s="159"/>
      <c r="D189" s="130" t="s">
        <v>338</v>
      </c>
      <c r="E189" s="134">
        <v>1</v>
      </c>
      <c r="F189" s="134">
        <v>2</v>
      </c>
      <c r="G189" s="134" t="s">
        <v>56</v>
      </c>
      <c r="H189" s="134">
        <f>H122</f>
        <v>3.35</v>
      </c>
      <c r="I189" s="134"/>
      <c r="J189" s="134">
        <f t="shared" si="3"/>
        <v>6.7</v>
      </c>
      <c r="K189" s="123"/>
    </row>
    <row r="190" spans="3:11">
      <c r="C190" s="159"/>
      <c r="D190" s="130" t="s">
        <v>382</v>
      </c>
      <c r="E190" s="134">
        <v>1</v>
      </c>
      <c r="F190" s="134">
        <v>1</v>
      </c>
      <c r="G190" s="134" t="s">
        <v>59</v>
      </c>
      <c r="H190" s="194">
        <f>H123</f>
        <v>4.5599999999999996</v>
      </c>
      <c r="I190" s="134"/>
      <c r="J190" s="134">
        <f t="shared" si="3"/>
        <v>4.5599999999999996</v>
      </c>
      <c r="K190" s="123"/>
    </row>
    <row r="191" spans="3:11" ht="9" customHeight="1">
      <c r="C191" s="159"/>
      <c r="D191" s="131"/>
      <c r="E191" s="134"/>
      <c r="F191" s="134"/>
      <c r="G191" s="134"/>
      <c r="H191" s="150"/>
      <c r="I191" s="134"/>
      <c r="J191" s="150"/>
      <c r="K191" s="123"/>
    </row>
    <row r="192" spans="3:11" ht="28.8" customHeight="1">
      <c r="C192" s="159"/>
      <c r="D192" s="111" t="str">
        <f>+CONCATENATE("TOTAL DE ",D175)</f>
        <v>TOTAL DE CONFORMACION Y COMPACTACIÓN DE SUBRASANTE CON MOTONIVELADORA 125HP</v>
      </c>
      <c r="E192" s="135"/>
      <c r="F192" s="135"/>
      <c r="G192" s="135"/>
      <c r="H192" s="135"/>
      <c r="I192" s="135"/>
      <c r="J192" s="136">
        <f>+SUM(J183:J190)</f>
        <v>199.6661</v>
      </c>
      <c r="K192" s="124" t="str">
        <f>+K181</f>
        <v>M2</v>
      </c>
    </row>
    <row r="193" spans="3:11" ht="8.4" customHeight="1">
      <c r="C193" s="159"/>
      <c r="D193" s="125"/>
      <c r="E193" s="146"/>
      <c r="F193" s="146"/>
      <c r="G193" s="146"/>
      <c r="H193" s="146"/>
      <c r="I193" s="146"/>
      <c r="J193" s="146"/>
      <c r="K193" s="126"/>
    </row>
    <row r="194" spans="3:11">
      <c r="C194" s="159"/>
      <c r="E194" s="132"/>
      <c r="F194" s="132"/>
      <c r="G194" s="132"/>
      <c r="H194" s="132"/>
      <c r="I194" s="132"/>
      <c r="J194" s="132"/>
      <c r="K194" s="120"/>
    </row>
    <row r="195" spans="3:11">
      <c r="C195" s="158">
        <f>C146+0.01</f>
        <v>2.0299999999999994</v>
      </c>
      <c r="D195" s="182" t="str">
        <f>RESUMEN!D34</f>
        <v>BASE</v>
      </c>
      <c r="E195" s="132"/>
      <c r="F195" s="132"/>
      <c r="G195" s="132"/>
      <c r="H195" s="132"/>
      <c r="I195" s="132"/>
      <c r="J195" s="132"/>
      <c r="K195" s="113"/>
    </row>
    <row r="196" spans="3:11">
      <c r="C196" s="159">
        <f>+C195+0.0001</f>
        <v>2.0300999999999996</v>
      </c>
      <c r="D196" s="258" t="str">
        <f>RESUMEN!D35</f>
        <v>BASE GRANULAR PARA VEREDAS PISO GIMNASIO, PISO DE BANCAS, RAMPAS E=0.10M</v>
      </c>
      <c r="E196" s="132"/>
      <c r="F196" s="132"/>
      <c r="G196" s="132"/>
      <c r="H196" s="132"/>
      <c r="I196" s="132"/>
      <c r="J196" s="132"/>
      <c r="K196" s="120"/>
    </row>
    <row r="197" spans="3:11" ht="14.4" thickBot="1">
      <c r="C197" s="159"/>
      <c r="D197" s="115" t="s">
        <v>19</v>
      </c>
      <c r="E197" s="115" t="s">
        <v>13</v>
      </c>
      <c r="F197" s="116" t="s">
        <v>4</v>
      </c>
      <c r="G197" s="116" t="s">
        <v>5</v>
      </c>
      <c r="H197" s="116" t="s">
        <v>6</v>
      </c>
      <c r="I197" s="116" t="s">
        <v>11</v>
      </c>
      <c r="J197" s="116" t="s">
        <v>7</v>
      </c>
      <c r="K197" s="115" t="s">
        <v>3</v>
      </c>
    </row>
    <row r="198" spans="3:11" ht="14.4" thickTop="1">
      <c r="C198" s="159"/>
      <c r="D198" s="121"/>
      <c r="E198" s="134"/>
      <c r="F198" s="134"/>
      <c r="G198" s="134"/>
      <c r="H198" s="134"/>
      <c r="I198" s="134"/>
      <c r="J198" s="134"/>
      <c r="K198" s="122"/>
    </row>
    <row r="199" spans="3:11">
      <c r="C199" s="159"/>
      <c r="D199" s="311" t="s">
        <v>25</v>
      </c>
      <c r="E199" s="134"/>
      <c r="F199" s="134"/>
      <c r="G199" s="134"/>
      <c r="H199" s="134"/>
      <c r="I199" s="134"/>
      <c r="J199" s="134"/>
      <c r="K199" s="122"/>
    </row>
    <row r="200" spans="3:11">
      <c r="C200" s="159"/>
      <c r="D200" s="311"/>
      <c r="E200" s="134"/>
      <c r="F200" s="134"/>
      <c r="G200" s="134"/>
      <c r="H200" s="134"/>
      <c r="I200" s="134"/>
      <c r="J200" s="134"/>
      <c r="K200" s="129"/>
    </row>
    <row r="201" spans="3:11">
      <c r="C201" s="159"/>
      <c r="D201" s="311"/>
      <c r="E201" s="134"/>
      <c r="F201" s="134"/>
      <c r="G201" s="134"/>
      <c r="H201" s="134"/>
      <c r="I201" s="134"/>
      <c r="J201" s="148"/>
      <c r="K201" s="122"/>
    </row>
    <row r="202" spans="3:11" ht="27.6">
      <c r="C202" s="159"/>
      <c r="D202" s="131" t="str">
        <f>D196</f>
        <v>BASE GRANULAR PARA VEREDAS PISO GIMNASIO, PISO DE BANCAS, RAMPAS E=0.10M</v>
      </c>
      <c r="E202" s="134">
        <v>1</v>
      </c>
      <c r="F202" s="134">
        <v>1</v>
      </c>
      <c r="G202" s="134" t="s">
        <v>56</v>
      </c>
      <c r="H202" s="132">
        <f>+J192</f>
        <v>199.6661</v>
      </c>
      <c r="I202" s="134"/>
      <c r="J202" s="134">
        <f>+PRODUCT(E202:I202)</f>
        <v>199.6661</v>
      </c>
      <c r="K202" s="123" t="s">
        <v>10</v>
      </c>
    </row>
    <row r="203" spans="3:11">
      <c r="C203" s="159"/>
      <c r="D203" s="121"/>
      <c r="E203" s="134"/>
      <c r="F203" s="134"/>
      <c r="G203" s="134"/>
      <c r="H203" s="132"/>
      <c r="I203" s="134"/>
      <c r="J203" s="134"/>
      <c r="K203" s="123"/>
    </row>
    <row r="204" spans="3:11">
      <c r="C204" s="159"/>
      <c r="D204" s="232" t="s">
        <v>465</v>
      </c>
      <c r="E204" s="134"/>
      <c r="F204" s="134"/>
      <c r="G204" s="134"/>
      <c r="H204" s="132"/>
      <c r="I204" s="134"/>
      <c r="J204" s="134"/>
      <c r="K204" s="123"/>
    </row>
    <row r="205" spans="3:11">
      <c r="C205" s="159"/>
      <c r="D205" s="232"/>
      <c r="E205" s="134"/>
      <c r="F205" s="134"/>
      <c r="G205" s="134"/>
      <c r="H205" s="132"/>
      <c r="I205" s="134"/>
      <c r="J205" s="134"/>
      <c r="K205" s="123"/>
    </row>
    <row r="206" spans="3:11" ht="27.6">
      <c r="C206" s="159"/>
      <c r="D206" s="110" t="str">
        <f>+CONCATENATE("TOTAL DE ",D196)</f>
        <v>TOTAL DE BASE GRANULAR PARA VEREDAS PISO GIMNASIO, PISO DE BANCAS, RAMPAS E=0.10M</v>
      </c>
      <c r="E206" s="135"/>
      <c r="F206" s="135"/>
      <c r="G206" s="135"/>
      <c r="H206" s="135"/>
      <c r="I206" s="135"/>
      <c r="J206" s="136">
        <f>+SUM(J200:J204)</f>
        <v>199.6661</v>
      </c>
      <c r="K206" s="124" t="str">
        <f>+K202</f>
        <v>M2</v>
      </c>
    </row>
    <row r="207" spans="3:11">
      <c r="C207" s="159"/>
      <c r="D207" s="125"/>
      <c r="E207" s="146"/>
      <c r="F207" s="146"/>
      <c r="G207" s="146"/>
      <c r="H207" s="146"/>
      <c r="I207" s="146"/>
      <c r="J207" s="146"/>
      <c r="K207" s="126"/>
    </row>
    <row r="208" spans="3:11">
      <c r="C208" s="159"/>
      <c r="D208" s="166"/>
      <c r="E208" s="132"/>
      <c r="F208" s="132"/>
      <c r="G208" s="132"/>
      <c r="H208" s="132"/>
      <c r="I208" s="132"/>
      <c r="J208" s="132"/>
      <c r="K208" s="120"/>
    </row>
    <row r="209" spans="3:11">
      <c r="C209" s="158">
        <f>C195+0.01</f>
        <v>2.0399999999999991</v>
      </c>
      <c r="D209" s="257" t="str">
        <f>RESUMEN!D36</f>
        <v>CONCRETO SIMPLE</v>
      </c>
      <c r="E209" s="132"/>
      <c r="F209" s="132"/>
      <c r="G209" s="132"/>
      <c r="H209" s="132"/>
      <c r="I209" s="132"/>
      <c r="J209" s="132"/>
      <c r="K209" s="113"/>
    </row>
    <row r="210" spans="3:11">
      <c r="C210" s="159">
        <f>C209+0.0001</f>
        <v>2.0400999999999994</v>
      </c>
      <c r="D210" s="258" t="str">
        <f>RESUMEN!D37</f>
        <v>ENCOFRADO Y DESENCOFRADO DE VEREDA, PISO GIMNASIO, PISO DE BANCAS, RAMPAS</v>
      </c>
      <c r="E210" s="132"/>
      <c r="F210" s="132"/>
      <c r="G210" s="132"/>
      <c r="H210" s="132"/>
      <c r="I210" s="132"/>
      <c r="J210" s="132"/>
      <c r="K210" s="120"/>
    </row>
    <row r="211" spans="3:11" ht="14.4" thickBot="1">
      <c r="C211" s="159"/>
      <c r="D211" s="115" t="s">
        <v>19</v>
      </c>
      <c r="E211" s="115" t="s">
        <v>13</v>
      </c>
      <c r="F211" s="116" t="s">
        <v>4</v>
      </c>
      <c r="G211" s="116" t="s">
        <v>5</v>
      </c>
      <c r="H211" s="116" t="s">
        <v>6</v>
      </c>
      <c r="I211" s="116" t="s">
        <v>11</v>
      </c>
      <c r="J211" s="116" t="s">
        <v>7</v>
      </c>
      <c r="K211" s="115" t="s">
        <v>3</v>
      </c>
    </row>
    <row r="212" spans="3:11" ht="14.4" thickTop="1">
      <c r="C212" s="159"/>
      <c r="D212" s="312" t="s">
        <v>300</v>
      </c>
      <c r="E212" s="134"/>
      <c r="F212" s="134"/>
      <c r="G212" s="134"/>
      <c r="H212" s="134"/>
      <c r="I212" s="134"/>
      <c r="J212" s="134"/>
      <c r="K212" s="122"/>
    </row>
    <row r="213" spans="3:11">
      <c r="C213" s="159"/>
      <c r="D213" s="312"/>
      <c r="E213" s="134"/>
      <c r="F213" s="134"/>
      <c r="G213" s="134"/>
      <c r="H213" s="134"/>
      <c r="I213" s="134"/>
      <c r="J213" s="134"/>
      <c r="K213" s="129"/>
    </row>
    <row r="214" spans="3:11">
      <c r="C214" s="159"/>
      <c r="D214" s="184" t="s">
        <v>31</v>
      </c>
      <c r="E214" s="134"/>
      <c r="F214" s="134"/>
      <c r="G214" s="134"/>
      <c r="H214" s="134"/>
      <c r="I214" s="134"/>
      <c r="J214" s="134"/>
      <c r="K214" s="191" t="s">
        <v>10</v>
      </c>
    </row>
    <row r="215" spans="3:11" ht="9" customHeight="1">
      <c r="C215" s="159"/>
      <c r="D215" s="140"/>
      <c r="E215" s="134"/>
      <c r="F215" s="134"/>
      <c r="G215" s="134"/>
      <c r="H215" s="134"/>
      <c r="I215" s="134"/>
      <c r="J215" s="134"/>
      <c r="K215" s="122"/>
    </row>
    <row r="216" spans="3:11">
      <c r="C216" s="159"/>
      <c r="D216" s="130" t="s">
        <v>441</v>
      </c>
      <c r="E216" s="134">
        <v>2</v>
      </c>
      <c r="F216" s="134">
        <v>1</v>
      </c>
      <c r="G216" s="134">
        <v>31.05</v>
      </c>
      <c r="H216" s="134"/>
      <c r="I216" s="134">
        <v>0.1</v>
      </c>
      <c r="J216" s="134">
        <f>+PRODUCT(E216:I216)</f>
        <v>6.2100000000000009</v>
      </c>
      <c r="K216" s="123"/>
    </row>
    <row r="217" spans="3:11">
      <c r="C217" s="159"/>
      <c r="D217" s="130" t="s">
        <v>333</v>
      </c>
      <c r="E217" s="134">
        <v>2</v>
      </c>
      <c r="F217" s="134">
        <v>1</v>
      </c>
      <c r="G217" s="134">
        <f>11.33+34.83+1.5</f>
        <v>47.66</v>
      </c>
      <c r="H217" s="134"/>
      <c r="I217" s="134">
        <v>0.1</v>
      </c>
      <c r="J217" s="134">
        <f t="shared" ref="J217:J222" si="4">+PRODUCT(E217:I217)</f>
        <v>9.532</v>
      </c>
      <c r="K217" s="123"/>
    </row>
    <row r="218" spans="3:11">
      <c r="C218" s="159"/>
      <c r="D218" s="130" t="s">
        <v>334</v>
      </c>
      <c r="E218" s="134">
        <v>2</v>
      </c>
      <c r="F218" s="134">
        <v>1</v>
      </c>
      <c r="G218" s="134">
        <f>5.85+5.93</f>
        <v>11.78</v>
      </c>
      <c r="H218" s="134"/>
      <c r="I218" s="134">
        <v>0.1</v>
      </c>
      <c r="J218" s="134">
        <f t="shared" si="4"/>
        <v>2.3559999999999999</v>
      </c>
      <c r="K218" s="123"/>
    </row>
    <row r="219" spans="3:11">
      <c r="C219" s="159"/>
      <c r="D219" s="130" t="s">
        <v>341</v>
      </c>
      <c r="E219" s="134">
        <v>2</v>
      </c>
      <c r="F219" s="134">
        <v>1</v>
      </c>
      <c r="G219" s="134">
        <f>3.98+2+3.98</f>
        <v>9.9600000000000009</v>
      </c>
      <c r="H219" s="134"/>
      <c r="I219" s="134">
        <v>0.1</v>
      </c>
      <c r="J219" s="134">
        <f t="shared" si="4"/>
        <v>1.9920000000000002</v>
      </c>
      <c r="K219" s="123"/>
    </row>
    <row r="220" spans="3:11">
      <c r="C220" s="159"/>
      <c r="D220" s="130" t="s">
        <v>340</v>
      </c>
      <c r="E220" s="134">
        <v>2</v>
      </c>
      <c r="F220" s="134">
        <v>1</v>
      </c>
      <c r="G220" s="134">
        <f>5.67+3.43</f>
        <v>9.1</v>
      </c>
      <c r="H220" s="134"/>
      <c r="I220" s="134">
        <v>0.1</v>
      </c>
      <c r="J220" s="134">
        <f t="shared" si="4"/>
        <v>1.82</v>
      </c>
      <c r="K220" s="123"/>
    </row>
    <row r="221" spans="3:11">
      <c r="C221" s="159"/>
      <c r="D221" s="130" t="s">
        <v>337</v>
      </c>
      <c r="E221" s="134">
        <v>2</v>
      </c>
      <c r="F221" s="134">
        <v>6</v>
      </c>
      <c r="G221" s="134">
        <v>8.4821000000000009</v>
      </c>
      <c r="H221" s="134"/>
      <c r="I221" s="134">
        <v>0.1</v>
      </c>
      <c r="J221" s="134">
        <f t="shared" si="4"/>
        <v>10.178520000000001</v>
      </c>
      <c r="K221" s="123"/>
    </row>
    <row r="222" spans="3:11">
      <c r="C222" s="159"/>
      <c r="D222" s="130" t="s">
        <v>338</v>
      </c>
      <c r="E222" s="134">
        <v>2</v>
      </c>
      <c r="F222" s="134">
        <v>2</v>
      </c>
      <c r="G222" s="134">
        <v>5.1695000000000002</v>
      </c>
      <c r="H222" s="134"/>
      <c r="I222" s="134">
        <v>0.1</v>
      </c>
      <c r="J222" s="134">
        <f t="shared" si="4"/>
        <v>2.0678000000000001</v>
      </c>
      <c r="K222" s="123"/>
    </row>
    <row r="223" spans="3:11">
      <c r="C223" s="159"/>
      <c r="D223" s="130" t="s">
        <v>382</v>
      </c>
      <c r="E223" s="134">
        <v>2</v>
      </c>
      <c r="F223" s="134">
        <v>1</v>
      </c>
      <c r="G223" s="134">
        <v>6.5564999999999998</v>
      </c>
      <c r="H223" s="134"/>
      <c r="I223" s="134">
        <v>0.1</v>
      </c>
      <c r="J223" s="134">
        <f>+PRODUCT(E223:I223)</f>
        <v>1.3113000000000001</v>
      </c>
      <c r="K223" s="123"/>
    </row>
    <row r="224" spans="3:11" ht="27.6">
      <c r="C224" s="159"/>
      <c r="D224" s="111" t="str">
        <f>+CONCATENATE("TOTAL DE ",D210)</f>
        <v>TOTAL DE ENCOFRADO Y DESENCOFRADO DE VEREDA, PISO GIMNASIO, PISO DE BANCAS, RAMPAS</v>
      </c>
      <c r="E224" s="135"/>
      <c r="F224" s="135"/>
      <c r="G224" s="135"/>
      <c r="H224" s="135"/>
      <c r="I224" s="135"/>
      <c r="J224" s="136">
        <f>+SUM(J212:J223)</f>
        <v>35.467620000000004</v>
      </c>
      <c r="K224" s="124" t="str">
        <f>+K214</f>
        <v>M2</v>
      </c>
    </row>
    <row r="225" spans="3:11">
      <c r="C225" s="159"/>
      <c r="D225" s="125"/>
      <c r="E225" s="146"/>
      <c r="F225" s="146"/>
      <c r="G225" s="146"/>
      <c r="H225" s="146"/>
      <c r="I225" s="146"/>
      <c r="J225" s="146"/>
      <c r="K225" s="126"/>
    </row>
    <row r="226" spans="3:11">
      <c r="C226" s="159"/>
      <c r="E226" s="132"/>
      <c r="F226" s="132"/>
      <c r="G226" s="132"/>
      <c r="H226" s="132"/>
      <c r="I226" s="132"/>
      <c r="J226" s="132"/>
      <c r="K226" s="120"/>
    </row>
    <row r="227" spans="3:11">
      <c r="C227" s="159">
        <f>RESUMEN!C38</f>
        <v>2.0401999999999996</v>
      </c>
      <c r="D227" s="258" t="str">
        <f>RESUMEN!D38</f>
        <v xml:space="preserve">CONCRETO  f'c= 175 kg/cm2, PARA VEREDAS, PISO GIMNASIO, PISO BANCAS, RAMPAS, INC. ACABADOS SEGÚN DETALLE e = 0.10 </v>
      </c>
      <c r="E227" s="132"/>
      <c r="F227" s="132"/>
      <c r="G227" s="132"/>
      <c r="H227" s="132"/>
      <c r="I227" s="132"/>
      <c r="J227" s="132"/>
      <c r="K227" s="120"/>
    </row>
    <row r="228" spans="3:11" ht="14.4" thickBot="1">
      <c r="C228" s="159"/>
      <c r="D228" s="269" t="s">
        <v>19</v>
      </c>
      <c r="E228" s="115" t="s">
        <v>13</v>
      </c>
      <c r="F228" s="116" t="s">
        <v>4</v>
      </c>
      <c r="G228" s="116" t="s">
        <v>5</v>
      </c>
      <c r="H228" s="116" t="s">
        <v>6</v>
      </c>
      <c r="I228" s="116" t="s">
        <v>11</v>
      </c>
      <c r="J228" s="116" t="s">
        <v>7</v>
      </c>
      <c r="K228" s="115" t="s">
        <v>3</v>
      </c>
    </row>
    <row r="229" spans="3:11" ht="14.4" thickTop="1">
      <c r="C229" s="159"/>
      <c r="D229" s="312" t="s">
        <v>301</v>
      </c>
      <c r="E229" s="134"/>
      <c r="F229" s="134"/>
      <c r="G229" s="134"/>
      <c r="H229" s="134"/>
      <c r="I229" s="134"/>
      <c r="J229" s="134"/>
      <c r="K229" s="122"/>
    </row>
    <row r="230" spans="3:11">
      <c r="C230" s="159"/>
      <c r="D230" s="312"/>
      <c r="E230" s="134"/>
      <c r="F230" s="134"/>
      <c r="G230" s="134"/>
      <c r="H230" s="134"/>
      <c r="I230" s="134"/>
      <c r="J230" s="134"/>
      <c r="K230" s="129"/>
    </row>
    <row r="231" spans="3:11">
      <c r="C231" s="159"/>
      <c r="D231" s="312"/>
      <c r="E231" s="134"/>
      <c r="F231" s="134"/>
      <c r="G231" s="134"/>
      <c r="H231" s="134"/>
      <c r="I231" s="134"/>
      <c r="J231" s="134"/>
      <c r="K231" s="122"/>
    </row>
    <row r="232" spans="3:11">
      <c r="C232" s="159"/>
      <c r="D232" s="183" t="s">
        <v>335</v>
      </c>
      <c r="E232" s="134"/>
      <c r="F232" s="134"/>
      <c r="G232" s="134"/>
      <c r="H232" s="134"/>
      <c r="I232" s="134"/>
      <c r="J232" s="134"/>
      <c r="K232" s="121"/>
    </row>
    <row r="233" spans="3:11">
      <c r="C233" s="159"/>
      <c r="D233" s="183"/>
      <c r="E233" s="134"/>
      <c r="F233" s="134"/>
      <c r="G233" s="134"/>
      <c r="H233" s="134"/>
      <c r="I233" s="134"/>
      <c r="J233" s="134"/>
      <c r="K233" s="134" t="s">
        <v>10</v>
      </c>
    </row>
    <row r="234" spans="3:11">
      <c r="C234" s="159"/>
      <c r="D234" s="183" t="s">
        <v>336</v>
      </c>
      <c r="E234" s="134"/>
      <c r="F234" s="134"/>
      <c r="G234" s="134"/>
      <c r="H234" s="134"/>
      <c r="I234" s="134"/>
      <c r="J234" s="134"/>
      <c r="K234" s="121"/>
    </row>
    <row r="235" spans="3:11">
      <c r="C235" s="159"/>
      <c r="D235" s="130" t="s">
        <v>311</v>
      </c>
      <c r="E235" s="134">
        <v>1</v>
      </c>
      <c r="F235" s="134">
        <v>1</v>
      </c>
      <c r="G235" s="132" t="s">
        <v>56</v>
      </c>
      <c r="H235" s="134">
        <v>43.176499999999997</v>
      </c>
      <c r="I235" s="151"/>
      <c r="J235" s="134">
        <f>H235*F235*E235</f>
        <v>43.176499999999997</v>
      </c>
      <c r="K235" s="123"/>
    </row>
    <row r="236" spans="3:11">
      <c r="C236" s="159"/>
      <c r="D236" s="183" t="s">
        <v>333</v>
      </c>
      <c r="E236" s="134"/>
      <c r="F236" s="134"/>
      <c r="G236" s="132"/>
      <c r="H236" s="134"/>
      <c r="I236" s="151"/>
      <c r="J236" s="134"/>
      <c r="K236" s="123"/>
    </row>
    <row r="237" spans="3:11">
      <c r="C237" s="159"/>
      <c r="D237" s="130" t="s">
        <v>311</v>
      </c>
      <c r="E237" s="134">
        <v>1</v>
      </c>
      <c r="F237" s="134">
        <v>1</v>
      </c>
      <c r="G237" s="132" t="s">
        <v>56</v>
      </c>
      <c r="H237" s="134">
        <v>52.083399999999997</v>
      </c>
      <c r="I237" s="151"/>
      <c r="J237" s="134">
        <f>H237*F237*E237</f>
        <v>52.083399999999997</v>
      </c>
      <c r="K237" s="123"/>
    </row>
    <row r="238" spans="3:11">
      <c r="C238" s="159"/>
      <c r="D238" s="183" t="s">
        <v>334</v>
      </c>
      <c r="E238" s="134"/>
      <c r="F238" s="227"/>
      <c r="G238" s="227"/>
      <c r="H238" s="132"/>
      <c r="I238" s="134"/>
      <c r="J238" s="132"/>
      <c r="K238" s="123"/>
    </row>
    <row r="239" spans="3:11">
      <c r="C239" s="159"/>
      <c r="D239" s="130" t="s">
        <v>311</v>
      </c>
      <c r="E239" s="134">
        <v>1</v>
      </c>
      <c r="F239" s="227">
        <v>1</v>
      </c>
      <c r="G239" s="132" t="s">
        <v>56</v>
      </c>
      <c r="H239" s="134">
        <v>25.699400000000001</v>
      </c>
      <c r="I239" s="151"/>
      <c r="J239" s="134">
        <f>H239*F239*E239</f>
        <v>25.699400000000001</v>
      </c>
      <c r="K239" s="123"/>
    </row>
    <row r="240" spans="3:11">
      <c r="C240" s="159"/>
      <c r="D240" s="183" t="s">
        <v>341</v>
      </c>
      <c r="E240" s="134"/>
      <c r="F240" s="129"/>
      <c r="G240" s="227"/>
      <c r="H240" s="114"/>
      <c r="I240" s="151"/>
      <c r="J240" s="114"/>
      <c r="K240" s="123"/>
    </row>
    <row r="241" spans="3:11">
      <c r="C241" s="159"/>
      <c r="D241" s="130" t="s">
        <v>311</v>
      </c>
      <c r="E241" s="134">
        <v>1</v>
      </c>
      <c r="F241" s="227">
        <v>1</v>
      </c>
      <c r="G241" s="132" t="s">
        <v>56</v>
      </c>
      <c r="H241" s="134">
        <v>7.9718999999999998</v>
      </c>
      <c r="I241" s="151"/>
      <c r="J241" s="134">
        <f>H241*F241*E241</f>
        <v>7.9718999999999998</v>
      </c>
      <c r="K241" s="123"/>
    </row>
    <row r="242" spans="3:11">
      <c r="C242" s="159"/>
      <c r="D242" s="183" t="s">
        <v>339</v>
      </c>
      <c r="E242" s="134"/>
      <c r="F242" s="227"/>
      <c r="G242" s="227"/>
      <c r="H242" s="134"/>
      <c r="I242" s="151"/>
      <c r="J242" s="132"/>
      <c r="K242" s="123"/>
    </row>
    <row r="243" spans="3:11">
      <c r="C243" s="159"/>
      <c r="D243" s="130" t="s">
        <v>340</v>
      </c>
      <c r="E243" s="134">
        <v>1</v>
      </c>
      <c r="F243" s="227">
        <v>1</v>
      </c>
      <c r="G243" s="132" t="s">
        <v>56</v>
      </c>
      <c r="H243" s="134">
        <v>19.5749</v>
      </c>
      <c r="I243" s="134"/>
      <c r="J243" s="134">
        <f>H243*F243*E243</f>
        <v>19.5749</v>
      </c>
      <c r="K243" s="123"/>
    </row>
    <row r="244" spans="3:11">
      <c r="C244" s="159"/>
      <c r="D244" s="183" t="s">
        <v>337</v>
      </c>
      <c r="E244" s="134"/>
      <c r="F244" s="227"/>
      <c r="G244" s="227"/>
      <c r="H244" s="134"/>
      <c r="I244" s="134"/>
      <c r="J244" s="132"/>
      <c r="K244" s="123"/>
    </row>
    <row r="245" spans="3:11">
      <c r="C245" s="159"/>
      <c r="D245" s="130" t="s">
        <v>337</v>
      </c>
      <c r="E245" s="134">
        <v>1</v>
      </c>
      <c r="F245" s="227">
        <v>6</v>
      </c>
      <c r="G245" s="132" t="s">
        <v>56</v>
      </c>
      <c r="H245" s="134">
        <v>6.65</v>
      </c>
      <c r="I245" s="151"/>
      <c r="J245" s="134">
        <f>H245*F245*E245</f>
        <v>39.900000000000006</v>
      </c>
      <c r="K245" s="123"/>
    </row>
    <row r="246" spans="3:11">
      <c r="C246" s="159"/>
      <c r="D246" s="183" t="s">
        <v>338</v>
      </c>
      <c r="E246" s="134"/>
      <c r="F246" s="129"/>
      <c r="G246" s="114"/>
      <c r="H246" s="121"/>
      <c r="I246" s="151"/>
      <c r="J246" s="114"/>
      <c r="K246" s="123"/>
    </row>
    <row r="247" spans="3:11">
      <c r="C247" s="159"/>
      <c r="D247" s="130" t="s">
        <v>338</v>
      </c>
      <c r="E247" s="134">
        <v>1</v>
      </c>
      <c r="F247" s="227">
        <v>2</v>
      </c>
      <c r="G247" s="132" t="s">
        <v>56</v>
      </c>
      <c r="H247" s="134">
        <v>3.35</v>
      </c>
      <c r="I247" s="151"/>
      <c r="J247" s="134">
        <f>H247*F247*E247</f>
        <v>6.7</v>
      </c>
      <c r="K247" s="123"/>
    </row>
    <row r="248" spans="3:11">
      <c r="C248" s="159"/>
      <c r="D248" s="183" t="s">
        <v>382</v>
      </c>
      <c r="E248" s="134">
        <v>1</v>
      </c>
      <c r="F248" s="227">
        <v>1</v>
      </c>
      <c r="G248" s="132" t="s">
        <v>56</v>
      </c>
      <c r="H248" s="134">
        <f>H190</f>
        <v>4.5599999999999996</v>
      </c>
      <c r="I248" s="151"/>
      <c r="J248" s="134">
        <f>H248*F248*E248</f>
        <v>4.5599999999999996</v>
      </c>
      <c r="K248" s="123"/>
    </row>
    <row r="249" spans="3:11">
      <c r="C249" s="159"/>
      <c r="D249" s="130"/>
      <c r="E249" s="134"/>
      <c r="F249" s="227"/>
      <c r="G249" s="227"/>
      <c r="H249" s="132"/>
      <c r="I249" s="134"/>
      <c r="J249" s="134"/>
      <c r="K249" s="123"/>
    </row>
    <row r="250" spans="3:11" ht="27.6">
      <c r="C250" s="159"/>
      <c r="D250" s="111" t="str">
        <f>+CONCATENATE("TOTAL DE ",D227)</f>
        <v xml:space="preserve">TOTAL DE CONCRETO  f'c= 175 kg/cm2, PARA VEREDAS, PISO GIMNASIO, PISO BANCAS, RAMPAS, INC. ACABADOS SEGÚN DETALLE e = 0.10 </v>
      </c>
      <c r="E250" s="135"/>
      <c r="F250" s="228"/>
      <c r="G250" s="135"/>
      <c r="H250" s="135"/>
      <c r="I250" s="151"/>
      <c r="J250" s="136">
        <f>+SUM(J235:J249)</f>
        <v>199.6661</v>
      </c>
      <c r="K250" s="193" t="str">
        <f>+K233</f>
        <v>M2</v>
      </c>
    </row>
    <row r="251" spans="3:11" ht="7.2" customHeight="1">
      <c r="C251" s="159"/>
      <c r="D251" s="125"/>
      <c r="E251" s="146"/>
      <c r="F251" s="146"/>
      <c r="G251" s="146"/>
      <c r="H251" s="146"/>
      <c r="I251" s="151"/>
      <c r="J251" s="146"/>
      <c r="K251" s="126"/>
    </row>
    <row r="252" spans="3:11">
      <c r="C252" s="159"/>
      <c r="E252" s="132"/>
      <c r="F252" s="132"/>
      <c r="G252" s="132"/>
      <c r="H252" s="132"/>
      <c r="I252" s="192"/>
      <c r="J252" s="132"/>
      <c r="K252" s="120"/>
    </row>
    <row r="253" spans="3:11">
      <c r="C253" s="159">
        <f>C227+0.0001</f>
        <v>2.0402999999999998</v>
      </c>
      <c r="D253" s="258" t="str">
        <f>RESUMEN!D39</f>
        <v>CURADO DE CONCRETO CON ADITIVO</v>
      </c>
      <c r="E253" s="132"/>
      <c r="F253" s="132"/>
      <c r="G253" s="132"/>
      <c r="H253" s="132"/>
      <c r="I253" s="132"/>
      <c r="J253" s="132"/>
      <c r="K253" s="120"/>
    </row>
    <row r="254" spans="3:11" ht="14.4" thickBot="1">
      <c r="C254" s="159"/>
      <c r="D254" s="115" t="s">
        <v>19</v>
      </c>
      <c r="E254" s="115" t="s">
        <v>13</v>
      </c>
      <c r="F254" s="116" t="s">
        <v>4</v>
      </c>
      <c r="G254" s="116" t="s">
        <v>5</v>
      </c>
      <c r="H254" s="116" t="s">
        <v>6</v>
      </c>
      <c r="I254" s="116" t="s">
        <v>11</v>
      </c>
      <c r="J254" s="116" t="s">
        <v>7</v>
      </c>
      <c r="K254" s="115" t="s">
        <v>3</v>
      </c>
    </row>
    <row r="255" spans="3:11" ht="14.4" thickTop="1">
      <c r="C255" s="159"/>
      <c r="D255" s="311" t="s">
        <v>26</v>
      </c>
      <c r="E255" s="134"/>
      <c r="F255" s="134"/>
      <c r="G255" s="134"/>
      <c r="H255" s="134"/>
      <c r="I255" s="134"/>
      <c r="J255" s="134"/>
      <c r="K255" s="129"/>
    </row>
    <row r="256" spans="3:11">
      <c r="C256" s="159"/>
      <c r="D256" s="311"/>
      <c r="E256" s="134"/>
      <c r="F256" s="134"/>
      <c r="G256" s="134"/>
      <c r="H256" s="134"/>
      <c r="I256" s="134"/>
      <c r="J256" s="148"/>
      <c r="K256" s="122"/>
    </row>
    <row r="257" spans="3:11">
      <c r="C257" s="159"/>
      <c r="D257" s="131" t="s">
        <v>444</v>
      </c>
      <c r="E257" s="121"/>
      <c r="F257" s="121"/>
      <c r="G257" s="121"/>
      <c r="H257" s="121"/>
      <c r="I257" s="121"/>
      <c r="J257" s="114"/>
      <c r="K257" s="123" t="s">
        <v>10</v>
      </c>
    </row>
    <row r="258" spans="3:11">
      <c r="C258" s="159"/>
      <c r="D258" s="131"/>
      <c r="E258" s="134"/>
      <c r="F258" s="134"/>
      <c r="G258" s="134"/>
      <c r="H258" s="134"/>
      <c r="I258" s="134"/>
      <c r="J258" s="134"/>
      <c r="K258" s="123"/>
    </row>
    <row r="259" spans="3:11">
      <c r="C259" s="159"/>
      <c r="D259" s="131" t="s">
        <v>466</v>
      </c>
      <c r="E259" s="134">
        <v>1</v>
      </c>
      <c r="F259" s="134">
        <v>1</v>
      </c>
      <c r="G259" s="134" t="s">
        <v>14</v>
      </c>
      <c r="H259" s="134">
        <f>+J250</f>
        <v>199.6661</v>
      </c>
      <c r="I259" s="134"/>
      <c r="J259" s="134">
        <f t="shared" ref="J259" si="5">+PRODUCT(E259:I259)</f>
        <v>199.6661</v>
      </c>
      <c r="K259" s="123"/>
    </row>
    <row r="260" spans="3:11">
      <c r="C260" s="159"/>
      <c r="D260" s="131"/>
      <c r="E260" s="134"/>
      <c r="F260" s="134"/>
      <c r="G260" s="134"/>
      <c r="H260" s="134"/>
      <c r="I260" s="134"/>
      <c r="J260" s="134"/>
      <c r="K260" s="122"/>
    </row>
    <row r="261" spans="3:11">
      <c r="C261" s="159"/>
      <c r="D261" s="111" t="str">
        <f>+CONCATENATE("TOTAL DE ",D253)</f>
        <v>TOTAL DE CURADO DE CONCRETO CON ADITIVO</v>
      </c>
      <c r="E261" s="135"/>
      <c r="F261" s="135"/>
      <c r="G261" s="135"/>
      <c r="H261" s="135"/>
      <c r="I261" s="135"/>
      <c r="J261" s="136">
        <f>+SUM(J255:J260)</f>
        <v>199.6661</v>
      </c>
      <c r="K261" s="124" t="str">
        <f>+K257</f>
        <v>M2</v>
      </c>
    </row>
    <row r="262" spans="3:11">
      <c r="C262" s="159"/>
      <c r="D262" s="125"/>
      <c r="E262" s="146"/>
      <c r="F262" s="146"/>
      <c r="G262" s="146"/>
      <c r="H262" s="146"/>
      <c r="I262" s="146"/>
      <c r="J262" s="146"/>
      <c r="K262" s="126"/>
    </row>
    <row r="263" spans="3:11">
      <c r="C263" s="158">
        <f>C209+0.01</f>
        <v>2.0499999999999989</v>
      </c>
      <c r="D263" s="257" t="str">
        <f>RESUMEN!D40</f>
        <v>JUNTA</v>
      </c>
      <c r="E263" s="132"/>
      <c r="F263" s="132"/>
      <c r="G263" s="132"/>
      <c r="H263" s="132"/>
      <c r="I263" s="132"/>
      <c r="J263" s="132"/>
      <c r="K263" s="120"/>
    </row>
    <row r="264" spans="3:11">
      <c r="C264" s="159">
        <f>C253+0.0001</f>
        <v>2.0404</v>
      </c>
      <c r="D264" s="258" t="str">
        <f>RESUMEN!D41</f>
        <v>JUNTA ASFALTICA E=1" PARA VEREDA</v>
      </c>
      <c r="E264" s="132"/>
      <c r="F264" s="132"/>
      <c r="G264" s="132"/>
      <c r="H264" s="132"/>
      <c r="I264" s="132"/>
      <c r="J264" s="132"/>
      <c r="K264" s="120"/>
    </row>
    <row r="265" spans="3:11" ht="14.4" thickBot="1">
      <c r="C265" s="159"/>
      <c r="D265" s="115" t="s">
        <v>19</v>
      </c>
      <c r="E265" s="115" t="s">
        <v>13</v>
      </c>
      <c r="F265" s="116" t="s">
        <v>4</v>
      </c>
      <c r="G265" s="116" t="s">
        <v>5</v>
      </c>
      <c r="H265" s="116" t="s">
        <v>6</v>
      </c>
      <c r="I265" s="116" t="s">
        <v>11</v>
      </c>
      <c r="J265" s="116" t="s">
        <v>7</v>
      </c>
      <c r="K265" s="115" t="s">
        <v>3</v>
      </c>
    </row>
    <row r="266" spans="3:11" ht="14.4" thickTop="1">
      <c r="C266" s="159"/>
      <c r="D266" s="121"/>
      <c r="E266" s="134"/>
      <c r="F266" s="134"/>
      <c r="G266" s="134"/>
      <c r="H266" s="134"/>
      <c r="I266" s="134"/>
      <c r="J266" s="134"/>
      <c r="K266" s="122"/>
    </row>
    <row r="267" spans="3:11">
      <c r="C267" s="159"/>
      <c r="D267" s="312" t="s">
        <v>48</v>
      </c>
      <c r="E267" s="134"/>
      <c r="F267" s="134"/>
      <c r="G267" s="134"/>
      <c r="H267" s="134"/>
      <c r="I267" s="134"/>
      <c r="J267" s="134"/>
      <c r="K267" s="129"/>
    </row>
    <row r="268" spans="3:11">
      <c r="C268" s="159"/>
      <c r="D268" s="312"/>
      <c r="E268" s="134"/>
      <c r="F268" s="134"/>
      <c r="G268" s="134"/>
      <c r="H268" s="134"/>
      <c r="I268" s="134"/>
      <c r="J268" s="148"/>
      <c r="K268" s="122"/>
    </row>
    <row r="269" spans="3:11" ht="10.199999999999999" customHeight="1">
      <c r="C269" s="159"/>
      <c r="D269" s="162"/>
      <c r="E269" s="134"/>
      <c r="F269" s="134"/>
      <c r="G269" s="134"/>
      <c r="H269" s="134"/>
      <c r="I269" s="134"/>
      <c r="J269" s="148"/>
      <c r="K269" s="122"/>
    </row>
    <row r="270" spans="3:11">
      <c r="C270" s="159"/>
      <c r="D270" s="184" t="s">
        <v>31</v>
      </c>
      <c r="E270" s="134"/>
      <c r="F270" s="134"/>
      <c r="G270" s="134"/>
      <c r="H270" s="134"/>
      <c r="I270" s="134"/>
      <c r="J270" s="134"/>
      <c r="K270" s="123" t="s">
        <v>601</v>
      </c>
    </row>
    <row r="271" spans="3:11">
      <c r="C271" s="159"/>
      <c r="D271" s="140"/>
      <c r="E271" s="134"/>
      <c r="F271" s="134"/>
      <c r="G271" s="134"/>
      <c r="H271" s="134"/>
      <c r="I271" s="134"/>
      <c r="J271" s="134"/>
      <c r="K271" s="122"/>
    </row>
    <row r="272" spans="3:11">
      <c r="C272" s="159"/>
      <c r="D272" s="130" t="s">
        <v>342</v>
      </c>
      <c r="E272" s="134">
        <v>1</v>
      </c>
      <c r="F272" s="134">
        <v>1</v>
      </c>
      <c r="G272" s="134">
        <f>+(J235/1.2)/4</f>
        <v>8.9951041666666658</v>
      </c>
      <c r="H272" s="134">
        <v>1.2</v>
      </c>
      <c r="I272" s="134"/>
      <c r="J272" s="134">
        <f>+G272*H272</f>
        <v>10.794124999999999</v>
      </c>
      <c r="K272" s="123"/>
    </row>
    <row r="273" spans="3:11">
      <c r="C273" s="159"/>
      <c r="D273" s="130" t="s">
        <v>343</v>
      </c>
      <c r="E273" s="134">
        <v>1</v>
      </c>
      <c r="F273" s="134">
        <v>1</v>
      </c>
      <c r="G273" s="134">
        <f>+(J237/1.5)/4</f>
        <v>8.6805666666666657</v>
      </c>
      <c r="H273" s="134">
        <v>1.5</v>
      </c>
      <c r="I273" s="134"/>
      <c r="J273" s="134">
        <f>+G273*H273</f>
        <v>13.020849999999999</v>
      </c>
      <c r="K273" s="123"/>
    </row>
    <row r="274" spans="3:11">
      <c r="C274" s="159"/>
      <c r="D274" s="130" t="s">
        <v>344</v>
      </c>
      <c r="E274" s="134">
        <v>1</v>
      </c>
      <c r="F274" s="134">
        <v>1</v>
      </c>
      <c r="G274" s="134">
        <f>+(J239/2.5)/4</f>
        <v>2.5699399999999999</v>
      </c>
      <c r="H274" s="134">
        <v>2.5</v>
      </c>
      <c r="I274" s="134"/>
      <c r="J274" s="134">
        <f>+G274*H274</f>
        <v>6.4248499999999993</v>
      </c>
      <c r="K274" s="123"/>
    </row>
    <row r="275" spans="3:11">
      <c r="C275" s="159"/>
      <c r="D275" s="130" t="s">
        <v>345</v>
      </c>
      <c r="E275" s="134">
        <v>1</v>
      </c>
      <c r="F275" s="134">
        <v>1</v>
      </c>
      <c r="G275" s="134">
        <f>+(J241/2)/4</f>
        <v>0.99648749999999997</v>
      </c>
      <c r="H275" s="134">
        <v>2</v>
      </c>
      <c r="I275" s="134"/>
      <c r="J275" s="134">
        <f>+G275*H275</f>
        <v>1.9929749999999999</v>
      </c>
      <c r="K275" s="123"/>
    </row>
    <row r="276" spans="3:11">
      <c r="C276" s="159"/>
      <c r="D276" s="130"/>
      <c r="E276" s="134"/>
      <c r="F276" s="134"/>
      <c r="G276" s="134"/>
      <c r="H276" s="134"/>
      <c r="I276" s="134"/>
      <c r="J276" s="134"/>
      <c r="K276" s="123"/>
    </row>
    <row r="277" spans="3:11">
      <c r="C277" s="159"/>
      <c r="D277" s="130" t="s">
        <v>346</v>
      </c>
      <c r="E277" s="134">
        <v>1</v>
      </c>
      <c r="F277" s="134">
        <v>6</v>
      </c>
      <c r="G277" s="134"/>
      <c r="H277" s="134">
        <v>1</v>
      </c>
      <c r="I277" s="134"/>
      <c r="J277" s="134">
        <f>+H277*F277</f>
        <v>6</v>
      </c>
      <c r="K277" s="123"/>
    </row>
    <row r="278" spans="3:11">
      <c r="C278" s="159"/>
      <c r="D278" s="130" t="s">
        <v>347</v>
      </c>
      <c r="E278" s="134">
        <v>1</v>
      </c>
      <c r="F278" s="134">
        <v>2</v>
      </c>
      <c r="G278" s="134"/>
      <c r="H278" s="134">
        <v>1</v>
      </c>
      <c r="I278" s="134"/>
      <c r="J278" s="134">
        <f>+H278*F278</f>
        <v>2</v>
      </c>
      <c r="K278" s="123"/>
    </row>
    <row r="279" spans="3:11">
      <c r="C279" s="159"/>
      <c r="D279" s="130"/>
      <c r="E279" s="134"/>
      <c r="F279" s="134"/>
      <c r="G279" s="134"/>
      <c r="H279" s="134"/>
      <c r="I279" s="134"/>
      <c r="J279" s="134"/>
      <c r="K279" s="123"/>
    </row>
    <row r="280" spans="3:11">
      <c r="C280" s="159"/>
      <c r="D280" s="111" t="str">
        <f>+CONCATENATE("TOTAL DE ",D264)</f>
        <v>TOTAL DE JUNTA ASFALTICA E=1" PARA VEREDA</v>
      </c>
      <c r="E280" s="135"/>
      <c r="F280" s="135"/>
      <c r="G280" s="135"/>
      <c r="H280" s="135"/>
      <c r="I280" s="135"/>
      <c r="J280" s="136">
        <f>+SUM(J266:J279)</f>
        <v>40.232799999999997</v>
      </c>
      <c r="K280" s="124" t="str">
        <f>+K270</f>
        <v>M</v>
      </c>
    </row>
    <row r="281" spans="3:11" ht="7.8" customHeight="1">
      <c r="C281" s="159"/>
      <c r="D281" s="125"/>
      <c r="E281" s="146"/>
      <c r="F281" s="146"/>
      <c r="G281" s="146"/>
      <c r="H281" s="146"/>
      <c r="I281" s="146"/>
      <c r="J281" s="146"/>
      <c r="K281" s="126"/>
    </row>
    <row r="282" spans="3:11">
      <c r="C282" s="159"/>
      <c r="E282" s="132"/>
      <c r="F282" s="132"/>
      <c r="G282" s="132"/>
      <c r="H282" s="132"/>
      <c r="I282" s="132"/>
      <c r="J282" s="132"/>
      <c r="K282" s="120"/>
    </row>
    <row r="283" spans="3:11">
      <c r="C283" s="157">
        <v>3</v>
      </c>
      <c r="D283" s="256" t="str">
        <f>RESUMEN!D42</f>
        <v>VEREDAS DE ADOQUIN</v>
      </c>
      <c r="E283" s="132"/>
      <c r="F283" s="132"/>
      <c r="G283" s="132"/>
      <c r="H283" s="132"/>
      <c r="I283" s="132"/>
      <c r="J283" s="132"/>
      <c r="K283" s="113"/>
    </row>
    <row r="284" spans="3:11">
      <c r="C284" s="158">
        <f>C283+0.01</f>
        <v>3.01</v>
      </c>
      <c r="D284" s="257" t="str">
        <f>RESUMEN!D43</f>
        <v>TRABAJOS  PRELIMINARES</v>
      </c>
      <c r="E284" s="132"/>
      <c r="F284" s="132"/>
      <c r="G284" s="132"/>
      <c r="H284" s="132"/>
      <c r="I284" s="132"/>
      <c r="J284" s="132"/>
      <c r="K284" s="113"/>
    </row>
    <row r="285" spans="3:11">
      <c r="C285" s="159">
        <f>+C284+0.0001</f>
        <v>3.0101</v>
      </c>
      <c r="D285" s="258" t="str">
        <f>RESUMEN!D44</f>
        <v>TRAZO Y REPLANTEO C/ EQUIPO</v>
      </c>
      <c r="E285" s="132"/>
      <c r="F285" s="132"/>
      <c r="G285" s="132"/>
      <c r="H285" s="132"/>
      <c r="I285" s="132"/>
      <c r="J285" s="132"/>
      <c r="K285" s="120"/>
    </row>
    <row r="286" spans="3:11" ht="14.4" thickBot="1">
      <c r="C286" s="159"/>
      <c r="D286" s="115" t="s">
        <v>19</v>
      </c>
      <c r="E286" s="115" t="s">
        <v>13</v>
      </c>
      <c r="F286" s="116" t="s">
        <v>4</v>
      </c>
      <c r="G286" s="116" t="s">
        <v>5</v>
      </c>
      <c r="H286" s="116" t="s">
        <v>6</v>
      </c>
      <c r="I286" s="116" t="s">
        <v>32</v>
      </c>
      <c r="J286" s="116" t="s">
        <v>7</v>
      </c>
      <c r="K286" s="115" t="s">
        <v>3</v>
      </c>
    </row>
    <row r="287" spans="3:11" ht="14.4" thickTop="1">
      <c r="C287" s="159"/>
      <c r="D287" s="121"/>
      <c r="E287" s="134"/>
      <c r="F287" s="134"/>
      <c r="G287" s="134"/>
      <c r="H287" s="134"/>
      <c r="I287" s="134"/>
      <c r="J287" s="134"/>
      <c r="K287" s="122"/>
    </row>
    <row r="288" spans="3:11">
      <c r="C288" s="159"/>
      <c r="D288" s="312" t="s">
        <v>446</v>
      </c>
      <c r="E288" s="134"/>
      <c r="F288" s="134"/>
      <c r="G288" s="134"/>
      <c r="H288" s="134"/>
      <c r="I288" s="134"/>
      <c r="J288" s="134"/>
      <c r="K288" s="122"/>
    </row>
    <row r="289" spans="3:11">
      <c r="C289" s="159"/>
      <c r="D289" s="312"/>
      <c r="E289" s="134"/>
      <c r="F289" s="134"/>
      <c r="G289" s="134"/>
      <c r="H289" s="134"/>
      <c r="I289" s="134"/>
      <c r="J289" s="134"/>
      <c r="K289" s="129"/>
    </row>
    <row r="290" spans="3:11">
      <c r="C290" s="159"/>
      <c r="D290" s="184" t="s">
        <v>445</v>
      </c>
      <c r="E290" s="134"/>
      <c r="F290" s="134"/>
      <c r="G290" s="134"/>
      <c r="H290" s="134"/>
      <c r="I290" s="134"/>
      <c r="J290" s="134"/>
      <c r="K290" s="123" t="s">
        <v>10</v>
      </c>
    </row>
    <row r="291" spans="3:11" ht="7.8" customHeight="1">
      <c r="C291" s="159"/>
      <c r="D291" s="164"/>
      <c r="E291" s="134"/>
      <c r="F291" s="134"/>
      <c r="G291" s="134"/>
      <c r="H291" s="134"/>
      <c r="I291" s="134"/>
      <c r="J291" s="134"/>
      <c r="K291" s="123"/>
    </row>
    <row r="292" spans="3:11">
      <c r="C292" s="159"/>
      <c r="D292" s="130" t="s">
        <v>467</v>
      </c>
      <c r="E292" s="134">
        <v>1</v>
      </c>
      <c r="G292" s="134" t="s">
        <v>59</v>
      </c>
      <c r="H292" s="134">
        <v>0.69</v>
      </c>
      <c r="I292" s="134"/>
      <c r="J292" s="134">
        <f>+PRODUCT(E292:I292)</f>
        <v>0.69</v>
      </c>
      <c r="K292" s="123"/>
    </row>
    <row r="293" spans="3:11">
      <c r="C293" s="159"/>
      <c r="D293" s="130" t="s">
        <v>468</v>
      </c>
      <c r="E293" s="134">
        <v>1</v>
      </c>
      <c r="G293" s="134" t="s">
        <v>59</v>
      </c>
      <c r="H293" s="134">
        <v>3.2383999999999999</v>
      </c>
      <c r="I293" s="134"/>
      <c r="J293" s="134">
        <f t="shared" ref="J293:J295" si="6">+PRODUCT(E293:I293)</f>
        <v>3.2383999999999999</v>
      </c>
      <c r="K293" s="123"/>
    </row>
    <row r="294" spans="3:11">
      <c r="C294" s="159"/>
      <c r="D294" s="130" t="s">
        <v>469</v>
      </c>
      <c r="E294" s="134">
        <v>1</v>
      </c>
      <c r="G294" s="134" t="s">
        <v>59</v>
      </c>
      <c r="H294" s="235">
        <v>3.1068199999999999</v>
      </c>
      <c r="I294" s="134"/>
      <c r="J294" s="134">
        <f t="shared" si="6"/>
        <v>3.1068199999999999</v>
      </c>
      <c r="K294" s="123"/>
    </row>
    <row r="295" spans="3:11">
      <c r="C295" s="159"/>
      <c r="D295" s="130" t="s">
        <v>470</v>
      </c>
      <c r="E295" s="134">
        <v>1</v>
      </c>
      <c r="G295" s="134" t="s">
        <v>59</v>
      </c>
      <c r="H295" s="134">
        <v>0.69</v>
      </c>
      <c r="I295" s="134"/>
      <c r="J295" s="134">
        <f t="shared" si="6"/>
        <v>0.69</v>
      </c>
      <c r="K295" s="123"/>
    </row>
    <row r="296" spans="3:11" ht="7.2" customHeight="1">
      <c r="C296" s="159"/>
      <c r="D296" s="133"/>
      <c r="E296" s="134"/>
      <c r="F296" s="134"/>
      <c r="G296" s="134"/>
      <c r="H296" s="134"/>
      <c r="I296" s="134"/>
      <c r="J296" s="134"/>
      <c r="K296" s="122"/>
    </row>
    <row r="297" spans="3:11">
      <c r="C297" s="159"/>
      <c r="D297" s="111" t="str">
        <f>+CONCATENATE("TOTAL DE ",D285)</f>
        <v>TOTAL DE TRAZO Y REPLANTEO C/ EQUIPO</v>
      </c>
      <c r="E297" s="135"/>
      <c r="F297" s="135"/>
      <c r="G297" s="135"/>
      <c r="H297" s="135"/>
      <c r="I297" s="135"/>
      <c r="J297" s="136">
        <f>+SUM(J287:J296)</f>
        <v>7.7252200000000002</v>
      </c>
      <c r="K297" s="124" t="str">
        <f>+K290</f>
        <v>M2</v>
      </c>
    </row>
    <row r="298" spans="3:11">
      <c r="C298" s="159"/>
      <c r="D298" s="125"/>
      <c r="E298" s="146"/>
      <c r="F298" s="146"/>
      <c r="G298" s="146"/>
      <c r="H298" s="146"/>
      <c r="I298" s="146"/>
      <c r="J298" s="146"/>
      <c r="K298" s="126"/>
    </row>
    <row r="299" spans="3:11">
      <c r="C299" s="159"/>
      <c r="E299" s="132"/>
      <c r="F299" s="132"/>
      <c r="G299" s="132"/>
      <c r="H299" s="132"/>
      <c r="I299" s="132"/>
      <c r="J299" s="132"/>
      <c r="K299" s="120"/>
    </row>
    <row r="300" spans="3:11">
      <c r="C300" s="158">
        <f>C284+0.01</f>
        <v>3.0199999999999996</v>
      </c>
      <c r="D300" s="257" t="str">
        <f>RESUMEN!D45</f>
        <v>MOVIMIENTO DE TIERRAS</v>
      </c>
      <c r="E300" s="132"/>
      <c r="F300" s="132"/>
      <c r="G300" s="132"/>
      <c r="H300" s="132"/>
      <c r="I300" s="132"/>
      <c r="J300" s="132"/>
      <c r="K300" s="120"/>
    </row>
    <row r="301" spans="3:11">
      <c r="C301" s="159">
        <f>+C300+0.0001</f>
        <v>3.0200999999999998</v>
      </c>
      <c r="D301" s="258" t="str">
        <f>RESUMEN!D46</f>
        <v xml:space="preserve"> EXCAVACIÓN A MANO EN TERRENO NORMAL PARA VEREDAS DE ADOQUIN</v>
      </c>
      <c r="E301" s="132"/>
      <c r="F301" s="132"/>
      <c r="G301" s="132"/>
      <c r="H301" s="132"/>
      <c r="I301" s="132"/>
      <c r="J301" s="132"/>
      <c r="K301" s="120"/>
    </row>
    <row r="302" spans="3:11" ht="14.4" thickBot="1">
      <c r="C302" s="159"/>
      <c r="D302" s="115" t="s">
        <v>19</v>
      </c>
      <c r="E302" s="115" t="s">
        <v>13</v>
      </c>
      <c r="F302" s="116" t="s">
        <v>4</v>
      </c>
      <c r="G302" s="116" t="s">
        <v>5</v>
      </c>
      <c r="H302" s="116" t="s">
        <v>6</v>
      </c>
      <c r="I302" s="116" t="s">
        <v>11</v>
      </c>
      <c r="J302" s="116" t="s">
        <v>7</v>
      </c>
      <c r="K302" s="115" t="s">
        <v>3</v>
      </c>
    </row>
    <row r="303" spans="3:11" ht="14.4" thickTop="1">
      <c r="C303" s="159"/>
      <c r="D303" s="121"/>
      <c r="E303" s="134"/>
      <c r="F303" s="134"/>
      <c r="G303" s="134"/>
      <c r="H303" s="134"/>
      <c r="I303" s="134"/>
      <c r="J303" s="134"/>
      <c r="K303" s="122"/>
    </row>
    <row r="304" spans="3:11">
      <c r="C304" s="159"/>
      <c r="D304" s="311" t="s">
        <v>57</v>
      </c>
      <c r="E304" s="134"/>
      <c r="F304" s="134"/>
      <c r="G304" s="134"/>
      <c r="H304" s="134"/>
      <c r="I304" s="134"/>
      <c r="J304" s="134"/>
      <c r="K304" s="122"/>
    </row>
    <row r="305" spans="3:11">
      <c r="C305" s="159"/>
      <c r="D305" s="311"/>
      <c r="E305" s="134"/>
      <c r="F305" s="134"/>
      <c r="G305" s="134"/>
      <c r="H305" s="134"/>
      <c r="I305" s="134"/>
      <c r="J305" s="134"/>
      <c r="K305" s="129"/>
    </row>
    <row r="306" spans="3:11">
      <c r="C306" s="159"/>
      <c r="D306" s="184" t="s">
        <v>364</v>
      </c>
      <c r="E306" s="134"/>
      <c r="F306" s="134"/>
      <c r="G306" s="134"/>
      <c r="H306" s="134"/>
      <c r="I306" s="134"/>
      <c r="J306" s="134"/>
      <c r="K306" s="163" t="s">
        <v>12</v>
      </c>
    </row>
    <row r="307" spans="3:11">
      <c r="C307" s="159"/>
      <c r="D307" s="140"/>
      <c r="E307" s="134"/>
      <c r="F307" s="134"/>
      <c r="G307" s="134"/>
      <c r="H307" s="134"/>
      <c r="I307" s="134"/>
      <c r="J307" s="134"/>
      <c r="K307" s="122"/>
    </row>
    <row r="308" spans="3:11">
      <c r="C308" s="159"/>
      <c r="D308" s="130" t="s">
        <v>471</v>
      </c>
      <c r="E308" s="134">
        <v>1</v>
      </c>
      <c r="F308" s="134">
        <v>1</v>
      </c>
      <c r="G308" s="134" t="s">
        <v>56</v>
      </c>
      <c r="H308" s="150">
        <f>H292</f>
        <v>0.69</v>
      </c>
      <c r="I308" s="134">
        <v>0.1</v>
      </c>
      <c r="J308" s="134">
        <f>PRODUCT(E308:I308)</f>
        <v>6.8999999999999992E-2</v>
      </c>
      <c r="K308" s="123"/>
    </row>
    <row r="309" spans="3:11">
      <c r="C309" s="159"/>
      <c r="D309" s="130" t="s">
        <v>472</v>
      </c>
      <c r="E309" s="134">
        <v>1</v>
      </c>
      <c r="F309" s="134">
        <v>1</v>
      </c>
      <c r="G309" s="134" t="s">
        <v>56</v>
      </c>
      <c r="H309" s="150">
        <f>H293</f>
        <v>3.2383999999999999</v>
      </c>
      <c r="I309" s="134">
        <v>0.1</v>
      </c>
      <c r="J309" s="134">
        <f t="shared" ref="J309:J311" si="7">+PRODUCT(E309:I309)</f>
        <v>0.32384000000000002</v>
      </c>
      <c r="K309" s="123"/>
    </row>
    <row r="310" spans="3:11">
      <c r="C310" s="159"/>
      <c r="D310" s="130" t="s">
        <v>469</v>
      </c>
      <c r="E310" s="134">
        <v>1</v>
      </c>
      <c r="F310" s="134">
        <v>1</v>
      </c>
      <c r="G310" s="134" t="s">
        <v>56</v>
      </c>
      <c r="H310" s="150">
        <f>H294</f>
        <v>3.1068199999999999</v>
      </c>
      <c r="I310" s="134">
        <v>0.1</v>
      </c>
      <c r="J310" s="134">
        <f t="shared" si="7"/>
        <v>0.31068200000000001</v>
      </c>
      <c r="K310" s="123"/>
    </row>
    <row r="311" spans="3:11">
      <c r="C311" s="159"/>
      <c r="D311" s="130" t="s">
        <v>470</v>
      </c>
      <c r="E311" s="134">
        <v>1</v>
      </c>
      <c r="F311" s="134">
        <v>1</v>
      </c>
      <c r="G311" s="134" t="s">
        <v>56</v>
      </c>
      <c r="H311" s="134">
        <f>H295</f>
        <v>0.69</v>
      </c>
      <c r="I311" s="134">
        <v>0.1</v>
      </c>
      <c r="J311" s="134">
        <f t="shared" si="7"/>
        <v>6.8999999999999992E-2</v>
      </c>
      <c r="K311" s="122"/>
    </row>
    <row r="312" spans="3:11" ht="27.6">
      <c r="C312" s="159"/>
      <c r="D312" s="111" t="str">
        <f>+CONCATENATE("TOTAL DE ",D301)</f>
        <v>TOTAL DE  EXCAVACIÓN A MANO EN TERRENO NORMAL PARA VEREDAS DE ADOQUIN</v>
      </c>
      <c r="E312" s="135"/>
      <c r="F312" s="135"/>
      <c r="G312" s="135"/>
      <c r="H312" s="135"/>
      <c r="I312" s="135"/>
      <c r="J312" s="136">
        <f>+SUM(J303:J311)</f>
        <v>0.77252199999999993</v>
      </c>
      <c r="K312" s="124" t="str">
        <f>+K306</f>
        <v>M3</v>
      </c>
    </row>
    <row r="313" spans="3:11">
      <c r="C313" s="159"/>
      <c r="D313" s="125"/>
      <c r="E313" s="146"/>
      <c r="F313" s="146"/>
      <c r="G313" s="146"/>
      <c r="H313" s="146"/>
      <c r="I313" s="146"/>
      <c r="J313" s="146"/>
      <c r="K313" s="126"/>
    </row>
    <row r="314" spans="3:11">
      <c r="C314" s="159"/>
      <c r="E314" s="132"/>
      <c r="F314" s="132"/>
      <c r="G314" s="132"/>
      <c r="H314" s="132"/>
      <c r="I314" s="132"/>
      <c r="J314" s="132"/>
      <c r="K314" s="120"/>
    </row>
    <row r="315" spans="3:11">
      <c r="C315" s="159">
        <f>C301+0.0001</f>
        <v>3.0202</v>
      </c>
      <c r="D315" s="258" t="str">
        <f>RESUMEN!D47</f>
        <v>ELIMINACIÓN DEMATERIAL  EXCEDENTES C/VOLQUETE 15M3 D= 25KM</v>
      </c>
      <c r="E315" s="132"/>
      <c r="F315" s="132"/>
      <c r="G315" s="132"/>
      <c r="H315" s="132"/>
      <c r="I315" s="132"/>
      <c r="J315" s="132"/>
      <c r="K315" s="120"/>
    </row>
    <row r="316" spans="3:11" ht="14.4" thickBot="1">
      <c r="C316" s="159"/>
      <c r="D316" s="115" t="s">
        <v>19</v>
      </c>
      <c r="E316" s="115" t="s">
        <v>13</v>
      </c>
      <c r="F316" s="116" t="s">
        <v>4</v>
      </c>
      <c r="G316" s="116" t="s">
        <v>5</v>
      </c>
      <c r="H316" s="116" t="s">
        <v>6</v>
      </c>
      <c r="I316" s="116" t="s">
        <v>11</v>
      </c>
      <c r="J316" s="116" t="s">
        <v>7</v>
      </c>
      <c r="K316" s="115" t="s">
        <v>3</v>
      </c>
    </row>
    <row r="317" spans="3:11" ht="14.4" thickTop="1">
      <c r="C317" s="159"/>
      <c r="D317" s="311" t="s">
        <v>308</v>
      </c>
      <c r="E317" s="134"/>
      <c r="F317" s="134"/>
      <c r="G317" s="134"/>
      <c r="H317" s="134"/>
      <c r="I317" s="134"/>
      <c r="J317" s="134"/>
      <c r="K317" s="122"/>
    </row>
    <row r="318" spans="3:11">
      <c r="C318" s="159"/>
      <c r="D318" s="311"/>
      <c r="E318" s="134"/>
      <c r="F318" s="134"/>
      <c r="G318" s="134"/>
      <c r="H318" s="134"/>
      <c r="I318" s="134"/>
      <c r="J318" s="134"/>
      <c r="K318" s="129"/>
    </row>
    <row r="319" spans="3:11">
      <c r="C319" s="159"/>
      <c r="D319" s="311"/>
      <c r="E319" s="134"/>
      <c r="F319" s="134"/>
      <c r="G319" s="134"/>
      <c r="H319" s="134"/>
      <c r="I319" s="134"/>
      <c r="J319" s="148"/>
      <c r="K319" s="122"/>
    </row>
    <row r="320" spans="3:11" ht="6" customHeight="1">
      <c r="C320" s="159"/>
      <c r="D320" s="131"/>
      <c r="E320" s="134"/>
      <c r="F320" s="134"/>
      <c r="G320" s="134"/>
      <c r="H320" s="134"/>
      <c r="I320" s="134"/>
      <c r="J320" s="148"/>
      <c r="K320" s="122"/>
    </row>
    <row r="321" spans="3:11">
      <c r="C321" s="159"/>
      <c r="D321" s="234" t="s">
        <v>473</v>
      </c>
      <c r="E321" s="134">
        <v>1.25</v>
      </c>
      <c r="F321" s="134">
        <v>1</v>
      </c>
      <c r="G321" s="134" t="s">
        <v>474</v>
      </c>
      <c r="H321" s="134">
        <f>J312</f>
        <v>0.77252199999999993</v>
      </c>
      <c r="I321" s="134"/>
      <c r="J321" s="134">
        <f t="shared" ref="J321" si="8">+PRODUCT(E321:I321)</f>
        <v>0.96565249999999991</v>
      </c>
      <c r="K321" s="123" t="s">
        <v>12</v>
      </c>
    </row>
    <row r="322" spans="3:11" ht="7.2" customHeight="1">
      <c r="C322" s="159"/>
      <c r="D322" s="131"/>
      <c r="E322" s="134"/>
      <c r="F322" s="134"/>
      <c r="G322" s="134"/>
      <c r="H322" s="134"/>
      <c r="I322" s="134"/>
      <c r="J322" s="134"/>
      <c r="K322" s="122"/>
    </row>
    <row r="323" spans="3:11" ht="27.6">
      <c r="C323" s="159"/>
      <c r="D323" s="110" t="str">
        <f>+CONCATENATE("TOTAL DE ",D315)</f>
        <v>TOTAL DE ELIMINACIÓN DEMATERIAL  EXCEDENTES C/VOLQUETE 15M3 D= 25KM</v>
      </c>
      <c r="E323" s="135"/>
      <c r="F323" s="135"/>
      <c r="G323" s="135"/>
      <c r="H323" s="135"/>
      <c r="I323" s="135"/>
      <c r="J323" s="136">
        <f>+SUM(J318:J322)</f>
        <v>0.96565249999999991</v>
      </c>
      <c r="K323" s="124" t="str">
        <f>+K321</f>
        <v>M3</v>
      </c>
    </row>
    <row r="324" spans="3:11">
      <c r="C324" s="159"/>
      <c r="D324" s="137"/>
      <c r="E324" s="146"/>
      <c r="F324" s="146"/>
      <c r="G324" s="146"/>
      <c r="H324" s="146"/>
      <c r="I324" s="146"/>
      <c r="J324" s="146"/>
      <c r="K324" s="138"/>
    </row>
    <row r="325" spans="3:11">
      <c r="C325" s="159"/>
      <c r="E325" s="132"/>
      <c r="F325" s="132"/>
      <c r="G325" s="132"/>
      <c r="H325" s="132"/>
      <c r="I325" s="132"/>
      <c r="J325" s="132"/>
      <c r="K325" s="120"/>
    </row>
    <row r="326" spans="3:11">
      <c r="C326" s="159">
        <f>RESUMEN!C48</f>
        <v>3.0203000000000002</v>
      </c>
      <c r="D326" s="258" t="str">
        <f>RESUMEN!D48</f>
        <v>CONFORMACIÓN Y COMPACTACIÓN DE SUBRASANTE PARA VEREDAS DE ADOQUIN</v>
      </c>
      <c r="E326" s="132"/>
      <c r="F326" s="132"/>
      <c r="G326" s="132"/>
      <c r="H326" s="132"/>
      <c r="I326" s="132"/>
      <c r="J326" s="132"/>
      <c r="K326" s="120"/>
    </row>
    <row r="327" spans="3:11" ht="14.4" thickBot="1">
      <c r="C327" s="159"/>
      <c r="D327" s="115" t="s">
        <v>19</v>
      </c>
      <c r="E327" s="115" t="s">
        <v>13</v>
      </c>
      <c r="F327" s="116" t="s">
        <v>4</v>
      </c>
      <c r="G327" s="116" t="s">
        <v>5</v>
      </c>
      <c r="H327" s="116" t="s">
        <v>6</v>
      </c>
      <c r="I327" s="116" t="s">
        <v>11</v>
      </c>
      <c r="J327" s="116" t="s">
        <v>7</v>
      </c>
      <c r="K327" s="115" t="s">
        <v>3</v>
      </c>
    </row>
    <row r="328" spans="3:11" ht="14.4" thickTop="1">
      <c r="C328" s="159"/>
      <c r="D328" s="311" t="s">
        <v>23</v>
      </c>
      <c r="E328" s="134"/>
      <c r="F328" s="134"/>
      <c r="G328" s="134"/>
      <c r="H328" s="134"/>
      <c r="I328" s="134"/>
      <c r="J328" s="134"/>
      <c r="K328" s="122"/>
    </row>
    <row r="329" spans="3:11">
      <c r="C329" s="159"/>
      <c r="D329" s="311"/>
      <c r="E329" s="134"/>
      <c r="F329" s="134"/>
      <c r="G329" s="134"/>
      <c r="H329" s="134"/>
      <c r="I329" s="134"/>
      <c r="J329" s="134"/>
      <c r="K329" s="129"/>
    </row>
    <row r="330" spans="3:11">
      <c r="C330" s="159"/>
      <c r="D330" s="311"/>
      <c r="E330" s="134"/>
      <c r="F330" s="134"/>
      <c r="G330" s="134"/>
      <c r="H330" s="134"/>
      <c r="I330" s="134"/>
      <c r="J330" s="148"/>
      <c r="K330" s="122"/>
    </row>
    <row r="331" spans="3:11">
      <c r="C331" s="159"/>
      <c r="D331" s="184" t="s">
        <v>364</v>
      </c>
      <c r="E331" s="134"/>
      <c r="F331" s="134"/>
      <c r="G331" s="134"/>
      <c r="H331" s="134"/>
      <c r="I331" s="134"/>
      <c r="J331" s="134"/>
      <c r="K331" s="191" t="s">
        <v>10</v>
      </c>
    </row>
    <row r="332" spans="3:11">
      <c r="C332" s="159"/>
      <c r="D332" s="140"/>
      <c r="E332" s="134"/>
      <c r="F332" s="134"/>
      <c r="G332" s="134"/>
      <c r="H332" s="134"/>
      <c r="I332" s="134"/>
      <c r="J332" s="134"/>
      <c r="K332" s="122"/>
    </row>
    <row r="333" spans="3:11">
      <c r="C333" s="159"/>
      <c r="D333" s="130" t="str">
        <f>D308</f>
        <v>VEREDA ADOQUIN  AA</v>
      </c>
      <c r="E333" s="134">
        <v>1</v>
      </c>
      <c r="F333" s="134">
        <v>1</v>
      </c>
      <c r="G333" s="134" t="s">
        <v>56</v>
      </c>
      <c r="H333" s="134">
        <f>+H308</f>
        <v>0.69</v>
      </c>
      <c r="I333" s="134"/>
      <c r="J333" s="134">
        <f>+F333*H333*E333</f>
        <v>0.69</v>
      </c>
      <c r="K333" s="123"/>
    </row>
    <row r="334" spans="3:11">
      <c r="C334" s="159"/>
      <c r="D334" s="130" t="str">
        <f>D309</f>
        <v>VEREDA ADOQUIN AB</v>
      </c>
      <c r="E334" s="134">
        <v>1</v>
      </c>
      <c r="F334" s="134">
        <v>1</v>
      </c>
      <c r="G334" s="134" t="s">
        <v>56</v>
      </c>
      <c r="H334" s="134">
        <f>+H309</f>
        <v>3.2383999999999999</v>
      </c>
      <c r="I334" s="134"/>
      <c r="J334" s="134">
        <f t="shared" ref="J334:J336" si="9">+F334*H334*E334</f>
        <v>3.2383999999999999</v>
      </c>
      <c r="K334" s="123"/>
    </row>
    <row r="335" spans="3:11">
      <c r="C335" s="159"/>
      <c r="D335" s="130" t="s">
        <v>469</v>
      </c>
      <c r="E335" s="134">
        <v>1</v>
      </c>
      <c r="F335" s="134">
        <v>1</v>
      </c>
      <c r="G335" s="134" t="s">
        <v>56</v>
      </c>
      <c r="H335" s="134">
        <f>H310</f>
        <v>3.1068199999999999</v>
      </c>
      <c r="I335" s="134"/>
      <c r="J335" s="134">
        <f t="shared" si="9"/>
        <v>3.1068199999999999</v>
      </c>
      <c r="K335" s="123"/>
    </row>
    <row r="336" spans="3:11">
      <c r="C336" s="159"/>
      <c r="D336" s="130" t="s">
        <v>470</v>
      </c>
      <c r="E336" s="134">
        <v>1</v>
      </c>
      <c r="F336" s="134">
        <v>1</v>
      </c>
      <c r="G336" s="134" t="s">
        <v>56</v>
      </c>
      <c r="H336" s="134">
        <f>H311</f>
        <v>0.69</v>
      </c>
      <c r="I336" s="134"/>
      <c r="J336" s="134">
        <f t="shared" si="9"/>
        <v>0.69</v>
      </c>
      <c r="K336" s="123"/>
    </row>
    <row r="337" spans="3:11">
      <c r="C337" s="159"/>
      <c r="D337" s="131"/>
      <c r="E337" s="134"/>
      <c r="F337" s="134"/>
      <c r="G337" s="134"/>
      <c r="H337" s="150"/>
      <c r="I337" s="134"/>
      <c r="J337" s="150"/>
      <c r="K337" s="123"/>
    </row>
    <row r="338" spans="3:11" ht="27.6">
      <c r="C338" s="159"/>
      <c r="D338" s="111" t="str">
        <f>+CONCATENATE("TOTAL DE ",D326)</f>
        <v>TOTAL DE CONFORMACIÓN Y COMPACTACIÓN DE SUBRASANTE PARA VEREDAS DE ADOQUIN</v>
      </c>
      <c r="E338" s="135"/>
      <c r="F338" s="135"/>
      <c r="G338" s="135"/>
      <c r="H338" s="135"/>
      <c r="I338" s="135"/>
      <c r="J338" s="136">
        <f>+SUM(J333:J336)</f>
        <v>7.7252200000000002</v>
      </c>
      <c r="K338" s="124" t="str">
        <f>+K331</f>
        <v>M2</v>
      </c>
    </row>
    <row r="339" spans="3:11">
      <c r="C339" s="159"/>
      <c r="D339" s="125"/>
      <c r="E339" s="146"/>
      <c r="F339" s="146"/>
      <c r="G339" s="146"/>
      <c r="H339" s="146"/>
      <c r="I339" s="146"/>
      <c r="J339" s="146"/>
      <c r="K339" s="126"/>
    </row>
    <row r="340" spans="3:11">
      <c r="C340" s="158"/>
      <c r="D340" s="112"/>
      <c r="E340" s="132"/>
      <c r="F340" s="132"/>
      <c r="G340" s="132"/>
      <c r="H340" s="132"/>
      <c r="I340" s="132"/>
      <c r="J340" s="132"/>
      <c r="K340" s="113"/>
    </row>
    <row r="341" spans="3:11">
      <c r="C341" s="158">
        <f>C300+0.01</f>
        <v>3.0299999999999994</v>
      </c>
      <c r="D341" s="257" t="str">
        <f>RESUMEN!D49</f>
        <v>CAMA DE ARENA</v>
      </c>
      <c r="E341" s="132"/>
      <c r="F341" s="132"/>
      <c r="G341" s="132"/>
      <c r="H341" s="132"/>
      <c r="I341" s="132"/>
      <c r="J341" s="132"/>
      <c r="K341" s="120"/>
    </row>
    <row r="342" spans="3:11">
      <c r="C342" s="159">
        <f>C341+0.0001</f>
        <v>3.0300999999999996</v>
      </c>
      <c r="D342" s="258" t="str">
        <f>RESUMEN!D50</f>
        <v>CAMA DE ARENA DE e=0.05 M PARA ASENTADO DE ADOQUINES</v>
      </c>
      <c r="E342" s="132"/>
      <c r="F342" s="132"/>
      <c r="G342" s="132"/>
      <c r="H342" s="132"/>
      <c r="I342" s="132"/>
      <c r="J342" s="132"/>
      <c r="K342" s="120"/>
    </row>
    <row r="343" spans="3:11" ht="14.4" thickBot="1">
      <c r="C343" s="159"/>
      <c r="D343" s="115" t="s">
        <v>19</v>
      </c>
      <c r="E343" s="115" t="s">
        <v>13</v>
      </c>
      <c r="F343" s="116" t="s">
        <v>4</v>
      </c>
      <c r="G343" s="116" t="s">
        <v>5</v>
      </c>
      <c r="H343" s="116" t="s">
        <v>6</v>
      </c>
      <c r="I343" s="116" t="s">
        <v>11</v>
      </c>
      <c r="J343" s="116" t="s">
        <v>7</v>
      </c>
      <c r="K343" s="115" t="s">
        <v>3</v>
      </c>
    </row>
    <row r="344" spans="3:11" ht="8.4" customHeight="1" thickTop="1">
      <c r="C344" s="159"/>
      <c r="D344" s="121"/>
      <c r="E344" s="134"/>
      <c r="F344" s="134"/>
      <c r="G344" s="134"/>
      <c r="H344" s="134"/>
      <c r="I344" s="134"/>
      <c r="J344" s="134"/>
      <c r="K344" s="122"/>
    </row>
    <row r="345" spans="3:11">
      <c r="C345" s="159"/>
      <c r="D345" s="311" t="s">
        <v>447</v>
      </c>
      <c r="E345" s="134"/>
      <c r="F345" s="134"/>
      <c r="G345" s="134"/>
      <c r="H345" s="134"/>
      <c r="I345" s="134"/>
      <c r="J345" s="134"/>
      <c r="K345" s="122"/>
    </row>
    <row r="346" spans="3:11" ht="15" customHeight="1">
      <c r="C346" s="159"/>
      <c r="D346" s="311"/>
      <c r="E346" s="134"/>
      <c r="F346" s="134"/>
      <c r="G346" s="134"/>
      <c r="H346" s="134"/>
      <c r="I346" s="134"/>
      <c r="J346" s="134"/>
      <c r="K346" s="129"/>
    </row>
    <row r="347" spans="3:11" ht="9" customHeight="1">
      <c r="C347" s="159"/>
      <c r="D347" s="311"/>
      <c r="E347" s="134"/>
      <c r="F347" s="134"/>
      <c r="G347" s="134"/>
      <c r="H347" s="134"/>
      <c r="I347" s="134"/>
      <c r="J347" s="148"/>
      <c r="K347" s="122"/>
    </row>
    <row r="348" spans="3:11">
      <c r="C348" s="159"/>
      <c r="D348" s="130" t="str">
        <f>D292</f>
        <v>VEREDA DE ADOQUIN AA</v>
      </c>
      <c r="E348" s="134">
        <v>1</v>
      </c>
      <c r="F348" s="134">
        <v>1</v>
      </c>
      <c r="G348" s="134" t="s">
        <v>56</v>
      </c>
      <c r="H348" s="132">
        <f>H308</f>
        <v>0.69</v>
      </c>
      <c r="I348" s="134"/>
      <c r="J348" s="134">
        <f>+PRODUCT(E348:I348)</f>
        <v>0.69</v>
      </c>
      <c r="K348" s="122"/>
    </row>
    <row r="349" spans="3:11">
      <c r="C349" s="159"/>
      <c r="D349" s="130" t="str">
        <f>D309</f>
        <v>VEREDA ADOQUIN AB</v>
      </c>
      <c r="E349" s="134">
        <v>1</v>
      </c>
      <c r="F349" s="134">
        <v>1</v>
      </c>
      <c r="G349" s="134" t="s">
        <v>56</v>
      </c>
      <c r="H349" s="132">
        <f>H293</f>
        <v>3.2383999999999999</v>
      </c>
      <c r="I349" s="134"/>
      <c r="J349" s="134">
        <f>+PRODUCT(E349:I349)</f>
        <v>3.2383999999999999</v>
      </c>
      <c r="K349" s="123" t="s">
        <v>10</v>
      </c>
    </row>
    <row r="350" spans="3:11">
      <c r="C350" s="159"/>
      <c r="D350" s="130" t="str">
        <f>D310</f>
        <v>VERDA DE ADOQUIN AC</v>
      </c>
      <c r="E350" s="134">
        <v>1</v>
      </c>
      <c r="F350" s="134">
        <v>1</v>
      </c>
      <c r="G350" s="134" t="s">
        <v>56</v>
      </c>
      <c r="H350" s="132">
        <f>H294</f>
        <v>3.1068199999999999</v>
      </c>
      <c r="I350" s="134"/>
      <c r="J350" s="134">
        <f t="shared" ref="J350:J351" si="10">+PRODUCT(E350:I350)</f>
        <v>3.1068199999999999</v>
      </c>
      <c r="K350" s="123"/>
    </row>
    <row r="351" spans="3:11">
      <c r="C351" s="159"/>
      <c r="D351" s="130" t="str">
        <f>D295</f>
        <v>VERDA DE ADOQUIN AD</v>
      </c>
      <c r="E351" s="134">
        <v>1</v>
      </c>
      <c r="F351" s="134">
        <v>1</v>
      </c>
      <c r="G351" s="134" t="s">
        <v>56</v>
      </c>
      <c r="H351" s="132">
        <f>H295</f>
        <v>0.69</v>
      </c>
      <c r="I351" s="134"/>
      <c r="J351" s="134">
        <f t="shared" si="10"/>
        <v>0.69</v>
      </c>
      <c r="K351" s="123"/>
    </row>
    <row r="352" spans="3:11">
      <c r="C352" s="159"/>
      <c r="D352" s="130"/>
      <c r="E352" s="134"/>
      <c r="F352" s="134"/>
      <c r="G352" s="134"/>
      <c r="H352" s="132"/>
      <c r="I352" s="134"/>
      <c r="J352" s="134"/>
      <c r="K352" s="123"/>
    </row>
    <row r="353" spans="3:11">
      <c r="C353" s="159"/>
      <c r="D353" s="110" t="str">
        <f>+CONCATENATE("TOTAL DE ",D341)</f>
        <v>TOTAL DE CAMA DE ARENA</v>
      </c>
      <c r="E353" s="135"/>
      <c r="F353" s="135"/>
      <c r="G353" s="135"/>
      <c r="H353" s="135"/>
      <c r="I353" s="135"/>
      <c r="J353" s="136">
        <f>+SUM(J346:J351)</f>
        <v>7.7252200000000002</v>
      </c>
      <c r="K353" s="124" t="str">
        <f>+K349</f>
        <v>M2</v>
      </c>
    </row>
    <row r="354" spans="3:11">
      <c r="C354" s="159"/>
      <c r="D354" s="125"/>
      <c r="E354" s="146"/>
      <c r="F354" s="146"/>
      <c r="G354" s="146"/>
      <c r="H354" s="146"/>
      <c r="I354" s="146"/>
      <c r="J354" s="146"/>
      <c r="K354" s="126"/>
    </row>
    <row r="355" spans="3:11">
      <c r="C355" s="159"/>
      <c r="E355" s="132"/>
      <c r="F355" s="132"/>
      <c r="G355" s="132"/>
      <c r="H355" s="132"/>
      <c r="I355" s="132"/>
      <c r="J355" s="132"/>
      <c r="K355" s="120"/>
    </row>
    <row r="356" spans="3:11">
      <c r="C356" s="158">
        <f>C341+0.01</f>
        <v>3.0399999999999991</v>
      </c>
      <c r="D356" s="257" t="str">
        <f>RESUMEN!D51</f>
        <v>PISOS Y PAVIMENTOS</v>
      </c>
      <c r="E356" s="132"/>
      <c r="F356" s="132"/>
      <c r="G356" s="132"/>
      <c r="H356" s="132"/>
      <c r="I356" s="132"/>
      <c r="J356" s="132"/>
      <c r="K356" s="120"/>
    </row>
    <row r="357" spans="3:11">
      <c r="C357" s="159">
        <f>+C356+0.0001</f>
        <v>3.0400999999999994</v>
      </c>
      <c r="D357" s="258" t="str">
        <f>RESUMEN!D52</f>
        <v xml:space="preserve">COLOCACION DE ADOQUINES DE CONCRETO EN VEREDAS </v>
      </c>
      <c r="E357" s="132"/>
      <c r="F357" s="132"/>
      <c r="G357" s="132"/>
      <c r="H357" s="132"/>
      <c r="I357" s="132"/>
      <c r="J357" s="132"/>
      <c r="K357" s="120"/>
    </row>
    <row r="358" spans="3:11" ht="14.4" thickBot="1">
      <c r="C358" s="159"/>
      <c r="D358" s="115" t="s">
        <v>19</v>
      </c>
      <c r="E358" s="115" t="s">
        <v>13</v>
      </c>
      <c r="F358" s="116" t="s">
        <v>4</v>
      </c>
      <c r="G358" s="116" t="s">
        <v>5</v>
      </c>
      <c r="H358" s="116" t="s">
        <v>6</v>
      </c>
      <c r="I358" s="116" t="s">
        <v>11</v>
      </c>
      <c r="J358" s="116" t="s">
        <v>7</v>
      </c>
      <c r="K358" s="115" t="s">
        <v>3</v>
      </c>
    </row>
    <row r="359" spans="3:11" ht="14.4" thickTop="1">
      <c r="C359" s="159"/>
      <c r="D359" s="311" t="s">
        <v>448</v>
      </c>
      <c r="E359" s="134"/>
      <c r="F359" s="134"/>
      <c r="G359" s="134"/>
      <c r="H359" s="134"/>
      <c r="I359" s="134"/>
      <c r="J359" s="134"/>
      <c r="K359" s="122"/>
    </row>
    <row r="360" spans="3:11">
      <c r="C360" s="159"/>
      <c r="D360" s="311"/>
      <c r="E360" s="134"/>
      <c r="F360" s="134"/>
      <c r="G360" s="134"/>
      <c r="H360" s="134"/>
      <c r="I360" s="134"/>
      <c r="J360" s="134"/>
      <c r="K360" s="129"/>
    </row>
    <row r="361" spans="3:11">
      <c r="C361" s="159"/>
      <c r="D361" s="311"/>
      <c r="E361" s="134"/>
      <c r="F361" s="134"/>
      <c r="G361" s="134"/>
      <c r="H361" s="134"/>
      <c r="I361" s="134"/>
      <c r="J361" s="148"/>
      <c r="K361" s="122"/>
    </row>
    <row r="362" spans="3:11">
      <c r="C362" s="159"/>
      <c r="D362" s="184" t="s">
        <v>364</v>
      </c>
      <c r="E362" s="134"/>
      <c r="F362" s="134"/>
      <c r="G362" s="134"/>
      <c r="H362" s="134"/>
      <c r="I362" s="134"/>
      <c r="J362" s="134"/>
      <c r="K362" s="191" t="s">
        <v>10</v>
      </c>
    </row>
    <row r="363" spans="3:11">
      <c r="C363" s="159"/>
      <c r="D363" s="140"/>
      <c r="E363" s="134"/>
      <c r="F363" s="134"/>
      <c r="G363" s="134"/>
      <c r="H363" s="134"/>
      <c r="I363" s="134"/>
      <c r="J363" s="134"/>
      <c r="K363" s="122"/>
    </row>
    <row r="364" spans="3:11">
      <c r="C364" s="159"/>
      <c r="D364" s="130" t="str">
        <f>D308</f>
        <v>VEREDA ADOQUIN  AA</v>
      </c>
      <c r="E364" s="134">
        <v>1</v>
      </c>
      <c r="F364" s="134">
        <v>1</v>
      </c>
      <c r="G364" s="134" t="s">
        <v>56</v>
      </c>
      <c r="H364" s="132">
        <f>H308</f>
        <v>0.69</v>
      </c>
      <c r="I364" s="134"/>
      <c r="J364" s="134">
        <f>+PRODUCT(E364:I364)</f>
        <v>0.69</v>
      </c>
      <c r="K364" s="123"/>
    </row>
    <row r="365" spans="3:11">
      <c r="C365" s="159"/>
      <c r="D365" s="130" t="str">
        <f>D293</f>
        <v>VEREDA DE ADOQUIN AB</v>
      </c>
      <c r="E365" s="134">
        <v>1</v>
      </c>
      <c r="F365" s="134">
        <v>1</v>
      </c>
      <c r="G365" s="134" t="s">
        <v>56</v>
      </c>
      <c r="H365" s="132">
        <f>H309</f>
        <v>3.2383999999999999</v>
      </c>
      <c r="I365" s="134"/>
      <c r="J365" s="134">
        <f>+PRODUCT(E365:I365)</f>
        <v>3.2383999999999999</v>
      </c>
      <c r="K365" s="123"/>
    </row>
    <row r="366" spans="3:11">
      <c r="C366" s="159"/>
      <c r="D366" s="130" t="str">
        <f>D310</f>
        <v>VERDA DE ADOQUIN AC</v>
      </c>
      <c r="E366" s="134">
        <v>1</v>
      </c>
      <c r="F366" s="134">
        <v>1</v>
      </c>
      <c r="G366" s="134" t="s">
        <v>56</v>
      </c>
      <c r="H366" s="132">
        <f>H294</f>
        <v>3.1068199999999999</v>
      </c>
      <c r="I366" s="134"/>
      <c r="J366" s="134">
        <f t="shared" ref="J366:J367" si="11">+PRODUCT(E366:I366)</f>
        <v>3.1068199999999999</v>
      </c>
      <c r="K366" s="123"/>
    </row>
    <row r="367" spans="3:11">
      <c r="C367" s="159"/>
      <c r="D367" s="130" t="str">
        <f>D311</f>
        <v>VERDA DE ADOQUIN AD</v>
      </c>
      <c r="E367" s="134">
        <v>1</v>
      </c>
      <c r="F367" s="134">
        <v>1</v>
      </c>
      <c r="G367" s="134" t="s">
        <v>56</v>
      </c>
      <c r="H367" s="132">
        <f>H311</f>
        <v>0.69</v>
      </c>
      <c r="I367" s="134"/>
      <c r="J367" s="134">
        <f t="shared" si="11"/>
        <v>0.69</v>
      </c>
      <c r="K367" s="123"/>
    </row>
    <row r="368" spans="3:11">
      <c r="C368" s="159"/>
      <c r="D368" s="131"/>
      <c r="E368" s="134"/>
      <c r="F368" s="134"/>
      <c r="G368" s="134"/>
      <c r="H368" s="150"/>
      <c r="I368" s="134"/>
      <c r="J368" s="150"/>
      <c r="K368" s="123"/>
    </row>
    <row r="369" spans="3:14">
      <c r="C369" s="159"/>
      <c r="D369" s="111" t="str">
        <f>+CONCATENATE("TOTAL DE ",D357)</f>
        <v xml:space="preserve">TOTAL DE COLOCACION DE ADOQUINES DE CONCRETO EN VEREDAS </v>
      </c>
      <c r="E369" s="135"/>
      <c r="F369" s="135"/>
      <c r="G369" s="135"/>
      <c r="H369" s="135"/>
      <c r="I369" s="135"/>
      <c r="J369" s="136">
        <f>+SUM(J364:J367)</f>
        <v>7.7252200000000002</v>
      </c>
      <c r="K369" s="124" t="str">
        <f>+K362</f>
        <v>M2</v>
      </c>
      <c r="M369" s="127"/>
      <c r="N369" s="128"/>
    </row>
    <row r="370" spans="3:14">
      <c r="C370" s="159"/>
      <c r="D370" s="125"/>
      <c r="E370" s="146"/>
      <c r="F370" s="146"/>
      <c r="G370" s="146"/>
      <c r="H370" s="146"/>
      <c r="I370" s="146"/>
      <c r="J370" s="146"/>
      <c r="K370" s="126"/>
      <c r="M370" s="127"/>
      <c r="N370" s="128"/>
    </row>
    <row r="371" spans="3:14">
      <c r="C371" s="159"/>
      <c r="E371" s="132"/>
      <c r="F371" s="132"/>
      <c r="G371" s="132"/>
      <c r="H371" s="132"/>
      <c r="I371" s="132"/>
      <c r="J371" s="132"/>
      <c r="K371" s="120"/>
      <c r="M371" s="127"/>
      <c r="N371" s="128"/>
    </row>
    <row r="372" spans="3:14">
      <c r="C372" s="158">
        <f>C357+0.01</f>
        <v>3.0500999999999991</v>
      </c>
      <c r="D372" s="257" t="str">
        <f>RESUMEN!D53</f>
        <v>JUNTAS</v>
      </c>
      <c r="E372" s="132"/>
      <c r="F372" s="132"/>
      <c r="G372" s="132"/>
      <c r="H372" s="132"/>
      <c r="I372" s="132"/>
      <c r="J372" s="132"/>
      <c r="K372" s="113"/>
      <c r="M372" s="127"/>
      <c r="N372" s="128"/>
    </row>
    <row r="373" spans="3:14">
      <c r="C373" s="159">
        <f>RESUMEN!C54</f>
        <v>3.0401999999999996</v>
      </c>
      <c r="D373" s="258" t="str">
        <f>RESUMEN!D54</f>
        <v>SELLADO DE JUNTAS CON ARENA-CALZADA (ADOQUINADO)</v>
      </c>
      <c r="E373" s="132"/>
      <c r="F373" s="132"/>
      <c r="G373" s="132"/>
      <c r="H373" s="132"/>
      <c r="I373" s="132"/>
      <c r="J373" s="132"/>
      <c r="K373" s="120"/>
      <c r="M373" s="127"/>
      <c r="N373" s="128"/>
    </row>
    <row r="374" spans="3:14" ht="14.4" thickBot="1">
      <c r="C374" s="159"/>
      <c r="D374" s="115" t="s">
        <v>19</v>
      </c>
      <c r="E374" s="115" t="s">
        <v>13</v>
      </c>
      <c r="F374" s="116" t="s">
        <v>4</v>
      </c>
      <c r="G374" s="116" t="s">
        <v>5</v>
      </c>
      <c r="H374" s="116" t="s">
        <v>6</v>
      </c>
      <c r="I374" s="116" t="s">
        <v>11</v>
      </c>
      <c r="J374" s="116" t="s">
        <v>7</v>
      </c>
      <c r="K374" s="115" t="s">
        <v>3</v>
      </c>
      <c r="M374" s="127"/>
      <c r="N374" s="128"/>
    </row>
    <row r="375" spans="3:14" ht="14.4" thickTop="1">
      <c r="C375" s="159"/>
      <c r="D375" s="121"/>
      <c r="E375" s="134"/>
      <c r="F375" s="134"/>
      <c r="G375" s="134"/>
      <c r="H375" s="134"/>
      <c r="I375" s="134"/>
      <c r="J375" s="134"/>
      <c r="K375" s="122"/>
      <c r="M375" s="127"/>
      <c r="N375" s="128"/>
    </row>
    <row r="376" spans="3:14">
      <c r="C376" s="159"/>
      <c r="D376" s="311" t="s">
        <v>556</v>
      </c>
      <c r="E376" s="134"/>
      <c r="F376" s="134"/>
      <c r="G376" s="134"/>
      <c r="H376" s="134"/>
      <c r="I376" s="134"/>
      <c r="J376" s="134"/>
      <c r="K376" s="122"/>
      <c r="M376" s="127"/>
      <c r="N376" s="128"/>
    </row>
    <row r="377" spans="3:14">
      <c r="C377" s="159"/>
      <c r="D377" s="311"/>
      <c r="E377" s="134"/>
      <c r="F377" s="134"/>
      <c r="G377" s="134"/>
      <c r="H377" s="134"/>
      <c r="I377" s="134"/>
      <c r="J377" s="134"/>
      <c r="K377" s="129"/>
      <c r="M377" s="127"/>
      <c r="N377" s="128"/>
    </row>
    <row r="378" spans="3:14">
      <c r="C378" s="159"/>
      <c r="D378" s="311"/>
      <c r="E378" s="134"/>
      <c r="F378" s="134"/>
      <c r="G378" s="134"/>
      <c r="H378" s="134"/>
      <c r="I378" s="134"/>
      <c r="J378" s="148"/>
      <c r="K378" s="122"/>
      <c r="M378" s="112"/>
      <c r="N378" s="128"/>
    </row>
    <row r="379" spans="3:14">
      <c r="C379" s="159"/>
      <c r="D379" s="131" t="str">
        <f>D373</f>
        <v>SELLADO DE JUNTAS CON ARENA-CALZADA (ADOQUINADO)</v>
      </c>
      <c r="E379" s="134">
        <v>1</v>
      </c>
      <c r="F379" s="134">
        <v>1</v>
      </c>
      <c r="G379" s="134" t="s">
        <v>56</v>
      </c>
      <c r="H379" s="132">
        <f>+J369</f>
        <v>7.7252200000000002</v>
      </c>
      <c r="I379" s="134"/>
      <c r="J379" s="134">
        <f>+PRODUCT(E379:I379)</f>
        <v>7.7252200000000002</v>
      </c>
      <c r="K379" s="123" t="s">
        <v>10</v>
      </c>
    </row>
    <row r="380" spans="3:14">
      <c r="C380" s="159"/>
      <c r="D380" s="131"/>
      <c r="E380" s="134"/>
      <c r="F380" s="134"/>
      <c r="G380" s="134"/>
      <c r="H380" s="132"/>
      <c r="I380" s="134"/>
      <c r="J380" s="134"/>
      <c r="K380" s="123"/>
    </row>
    <row r="381" spans="3:14">
      <c r="C381" s="159"/>
      <c r="D381" s="110" t="str">
        <f>+CONCATENATE("TOTAL DE ",D373)</f>
        <v>TOTAL DE SELLADO DE JUNTAS CON ARENA-CALZADA (ADOQUINADO)</v>
      </c>
      <c r="E381" s="135"/>
      <c r="F381" s="135"/>
      <c r="G381" s="135"/>
      <c r="H381" s="135"/>
      <c r="I381" s="135"/>
      <c r="J381" s="136">
        <f>+SUM(J377:J380)</f>
        <v>7.7252200000000002</v>
      </c>
      <c r="K381" s="124" t="str">
        <f>+K379</f>
        <v>M2</v>
      </c>
    </row>
    <row r="382" spans="3:14">
      <c r="C382" s="159"/>
      <c r="D382" s="125"/>
      <c r="E382" s="146"/>
      <c r="F382" s="146"/>
      <c r="G382" s="146"/>
      <c r="H382" s="146"/>
      <c r="I382" s="146"/>
      <c r="J382" s="146"/>
      <c r="K382" s="126"/>
    </row>
    <row r="383" spans="3:14">
      <c r="C383" s="159"/>
      <c r="E383" s="132"/>
      <c r="F383" s="132"/>
      <c r="G383" s="132"/>
      <c r="H383" s="132"/>
      <c r="I383" s="132"/>
      <c r="J383" s="132"/>
      <c r="K383" s="120"/>
    </row>
    <row r="384" spans="3:14">
      <c r="C384" s="157">
        <v>4</v>
      </c>
      <c r="D384" s="139" t="str">
        <f>RESUMEN!D55</f>
        <v>LOSA DEPORTIVA MULTIUSOS</v>
      </c>
      <c r="E384" s="132"/>
      <c r="F384" s="132"/>
      <c r="G384" s="132"/>
      <c r="H384" s="132"/>
      <c r="I384" s="132"/>
      <c r="J384" s="132"/>
      <c r="K384" s="113"/>
    </row>
    <row r="385" spans="3:11">
      <c r="C385" s="158">
        <f>C384+0.01</f>
        <v>4.01</v>
      </c>
      <c r="D385" s="257" t="str">
        <f>RESUMEN!D56</f>
        <v>TRABAJOS PRELIMINARES</v>
      </c>
      <c r="E385" s="132"/>
      <c r="F385" s="132"/>
      <c r="G385" s="132"/>
      <c r="H385" s="132"/>
      <c r="I385" s="132"/>
      <c r="J385" s="132"/>
      <c r="K385" s="113"/>
    </row>
    <row r="386" spans="3:11">
      <c r="C386" s="159">
        <f>+C385+0.0001</f>
        <v>4.0100999999999996</v>
      </c>
      <c r="D386" s="259" t="str">
        <f>RESUMEN!D57</f>
        <v>TRAZO Y REPLANTEO C/ EQUIPO</v>
      </c>
      <c r="E386" s="132"/>
      <c r="F386" s="132"/>
      <c r="G386" s="132"/>
      <c r="H386" s="132"/>
      <c r="I386" s="132"/>
      <c r="J386" s="132"/>
      <c r="K386" s="120"/>
    </row>
    <row r="387" spans="3:11" ht="14.4" thickBot="1">
      <c r="C387" s="159"/>
      <c r="D387" s="115" t="s">
        <v>19</v>
      </c>
      <c r="E387" s="115" t="s">
        <v>13</v>
      </c>
      <c r="F387" s="116" t="s">
        <v>4</v>
      </c>
      <c r="G387" s="116" t="s">
        <v>5</v>
      </c>
      <c r="H387" s="116" t="s">
        <v>6</v>
      </c>
      <c r="I387" s="116" t="s">
        <v>32</v>
      </c>
      <c r="J387" s="116" t="s">
        <v>7</v>
      </c>
      <c r="K387" s="115" t="s">
        <v>3</v>
      </c>
    </row>
    <row r="388" spans="3:11" ht="9.6" customHeight="1" thickTop="1">
      <c r="C388" s="159"/>
      <c r="D388" s="121"/>
      <c r="E388" s="134"/>
      <c r="F388" s="134"/>
      <c r="G388" s="134"/>
      <c r="H388" s="134"/>
      <c r="I388" s="134"/>
      <c r="J388" s="134"/>
      <c r="K388" s="122"/>
    </row>
    <row r="389" spans="3:11">
      <c r="C389" s="159"/>
      <c r="D389" s="312" t="s">
        <v>349</v>
      </c>
      <c r="E389" s="134"/>
      <c r="F389" s="134"/>
      <c r="G389" s="134"/>
      <c r="H389" s="134"/>
      <c r="I389" s="134"/>
      <c r="J389" s="134"/>
      <c r="K389" s="122"/>
    </row>
    <row r="390" spans="3:11">
      <c r="C390" s="159"/>
      <c r="D390" s="312"/>
      <c r="E390" s="134"/>
      <c r="F390" s="134"/>
      <c r="G390" s="134"/>
      <c r="H390" s="134"/>
      <c r="I390" s="134"/>
      <c r="J390" s="134"/>
      <c r="K390" s="129"/>
    </row>
    <row r="391" spans="3:11">
      <c r="C391" s="159"/>
      <c r="D391" s="184" t="str">
        <f>D384</f>
        <v>LOSA DEPORTIVA MULTIUSOS</v>
      </c>
      <c r="E391" s="134"/>
      <c r="F391" s="134"/>
      <c r="G391" s="134"/>
      <c r="H391" s="134"/>
      <c r="I391" s="134"/>
      <c r="J391" s="134"/>
      <c r="K391" s="123" t="s">
        <v>10</v>
      </c>
    </row>
    <row r="392" spans="3:11">
      <c r="C392" s="159"/>
      <c r="D392" s="164"/>
      <c r="E392" s="134"/>
      <c r="F392" s="134"/>
      <c r="G392" s="134"/>
      <c r="H392" s="134"/>
      <c r="I392" s="134"/>
      <c r="J392" s="134"/>
      <c r="K392" s="123"/>
    </row>
    <row r="393" spans="3:11">
      <c r="C393" s="159"/>
      <c r="D393" s="197" t="s">
        <v>352</v>
      </c>
      <c r="E393" s="134">
        <v>1</v>
      </c>
      <c r="F393" s="134">
        <v>1</v>
      </c>
      <c r="G393" s="134" t="s">
        <v>59</v>
      </c>
      <c r="H393" s="134">
        <f>35.3019 + 6.2379</f>
        <v>41.5398</v>
      </c>
      <c r="I393" s="134"/>
      <c r="J393" s="134">
        <f>PRODUCT(E393:H393)</f>
        <v>41.5398</v>
      </c>
      <c r="K393" s="123"/>
    </row>
    <row r="394" spans="3:11" ht="9.6" customHeight="1">
      <c r="C394" s="159"/>
      <c r="D394" s="121"/>
      <c r="E394" s="134"/>
      <c r="F394" s="134"/>
      <c r="G394" s="134"/>
      <c r="H394" s="134"/>
      <c r="I394" s="134"/>
      <c r="J394" s="134"/>
      <c r="K394" s="122"/>
    </row>
    <row r="395" spans="3:11">
      <c r="C395" s="159"/>
      <c r="D395" s="111" t="str">
        <f>+CONCATENATE("TOTAL DE ",D386)</f>
        <v>TOTAL DE TRAZO Y REPLANTEO C/ EQUIPO</v>
      </c>
      <c r="E395" s="135"/>
      <c r="F395" s="135"/>
      <c r="G395" s="135"/>
      <c r="H395" s="135"/>
      <c r="I395" s="135"/>
      <c r="J395" s="136">
        <f>+SUM(J388:J394)</f>
        <v>41.5398</v>
      </c>
      <c r="K395" s="124" t="str">
        <f>+K391</f>
        <v>M2</v>
      </c>
    </row>
    <row r="396" spans="3:11" ht="9" customHeight="1">
      <c r="C396" s="159"/>
      <c r="D396" s="125"/>
      <c r="E396" s="146"/>
      <c r="F396" s="146"/>
      <c r="G396" s="146"/>
      <c r="H396" s="146"/>
      <c r="I396" s="146"/>
      <c r="J396" s="146"/>
      <c r="K396" s="126"/>
    </row>
    <row r="397" spans="3:11">
      <c r="C397" s="159"/>
      <c r="E397" s="132"/>
      <c r="F397" s="132"/>
      <c r="G397" s="132"/>
      <c r="H397" s="132"/>
      <c r="I397" s="132"/>
      <c r="J397" s="132"/>
      <c r="K397" s="120"/>
    </row>
    <row r="398" spans="3:11">
      <c r="C398" s="159">
        <f>C386+0.0001</f>
        <v>4.0101999999999993</v>
      </c>
      <c r="D398" s="259" t="str">
        <f>RESUMEN!D58</f>
        <v>DEMOLICION DE CONCRETO DE LOSA EXISTENTE C/MAQUINARIA, E=0.10</v>
      </c>
      <c r="E398" s="132"/>
      <c r="F398" s="132"/>
      <c r="G398" s="132"/>
      <c r="H398" s="132"/>
      <c r="I398" s="132"/>
      <c r="J398" s="132"/>
      <c r="K398" s="120"/>
    </row>
    <row r="399" spans="3:11" ht="14.4" thickBot="1">
      <c r="C399" s="159"/>
      <c r="D399" s="115" t="s">
        <v>19</v>
      </c>
      <c r="E399" s="115" t="s">
        <v>13</v>
      </c>
      <c r="F399" s="116" t="s">
        <v>4</v>
      </c>
      <c r="G399" s="116" t="s">
        <v>5</v>
      </c>
      <c r="H399" s="116" t="s">
        <v>6</v>
      </c>
      <c r="I399" s="116" t="s">
        <v>32</v>
      </c>
      <c r="J399" s="116" t="s">
        <v>7</v>
      </c>
      <c r="K399" s="115" t="s">
        <v>3</v>
      </c>
    </row>
    <row r="400" spans="3:11" ht="14.4" thickTop="1">
      <c r="C400" s="159"/>
      <c r="D400" s="121"/>
      <c r="E400" s="134"/>
      <c r="F400" s="134"/>
      <c r="G400" s="134"/>
      <c r="H400" s="134"/>
      <c r="I400" s="134"/>
      <c r="J400" s="134"/>
      <c r="K400" s="122"/>
    </row>
    <row r="401" spans="3:11">
      <c r="C401" s="159"/>
      <c r="D401" s="198" t="s">
        <v>353</v>
      </c>
      <c r="E401" s="134"/>
      <c r="F401" s="134"/>
      <c r="G401" s="134"/>
      <c r="H401" s="134"/>
      <c r="I401" s="134"/>
      <c r="J401" s="134"/>
      <c r="K401" s="122"/>
    </row>
    <row r="402" spans="3:11">
      <c r="C402" s="159"/>
      <c r="D402" s="198"/>
      <c r="E402" s="134"/>
      <c r="F402" s="134"/>
      <c r="G402" s="134"/>
      <c r="H402" s="134"/>
      <c r="I402" s="134"/>
      <c r="J402" s="134"/>
      <c r="K402" s="129"/>
    </row>
    <row r="403" spans="3:11">
      <c r="C403" s="159"/>
      <c r="D403" s="130" t="s">
        <v>350</v>
      </c>
      <c r="E403" s="134">
        <v>1</v>
      </c>
      <c r="F403" s="134">
        <v>1</v>
      </c>
      <c r="G403" s="134" t="s">
        <v>56</v>
      </c>
      <c r="H403" s="113">
        <v>75.898300000000006</v>
      </c>
      <c r="I403" s="134"/>
      <c r="J403" s="134">
        <f>+PRODUCT(E403:I403)</f>
        <v>75.898300000000006</v>
      </c>
      <c r="K403" s="123" t="s">
        <v>10</v>
      </c>
    </row>
    <row r="404" spans="3:11">
      <c r="C404" s="159"/>
      <c r="D404" s="131"/>
      <c r="E404" s="134"/>
      <c r="F404" s="134"/>
      <c r="G404" s="134"/>
      <c r="H404" s="134"/>
      <c r="I404" s="134"/>
      <c r="J404" s="134"/>
      <c r="K404" s="123"/>
    </row>
    <row r="405" spans="3:11" ht="27.6">
      <c r="C405" s="159"/>
      <c r="D405" s="111" t="str">
        <f>+CONCATENATE("TOTAL DE ",D398)</f>
        <v>TOTAL DE DEMOLICION DE CONCRETO DE LOSA EXISTENTE C/MAQUINARIA, E=0.10</v>
      </c>
      <c r="E405" s="135"/>
      <c r="F405" s="135"/>
      <c r="G405" s="135"/>
      <c r="H405" s="135"/>
      <c r="I405" s="135"/>
      <c r="J405" s="136">
        <f>SUM(J403:J403)</f>
        <v>75.898300000000006</v>
      </c>
      <c r="K405" s="124" t="str">
        <f>+K403</f>
        <v>M2</v>
      </c>
    </row>
    <row r="406" spans="3:11">
      <c r="C406" s="159"/>
      <c r="D406" s="125"/>
      <c r="E406" s="146"/>
      <c r="F406" s="146"/>
      <c r="G406" s="146"/>
      <c r="H406" s="146"/>
      <c r="I406" s="146"/>
      <c r="J406" s="146"/>
      <c r="K406" s="126"/>
    </row>
    <row r="407" spans="3:11">
      <c r="C407" s="159"/>
      <c r="E407" s="132"/>
      <c r="F407" s="132"/>
      <c r="G407" s="132"/>
      <c r="H407" s="132"/>
      <c r="I407" s="132"/>
      <c r="J407" s="132"/>
      <c r="K407" s="120"/>
    </row>
    <row r="408" spans="3:11">
      <c r="C408" s="159">
        <f>C398+0.0001</f>
        <v>4.0102999999999991</v>
      </c>
      <c r="D408" s="258" t="str">
        <f>VLOOKUP(C408,RESUMEN!C:F,2,FALSE)</f>
        <v xml:space="preserve">ELIMINACIÓN DE MATERIAL  EXCEDENTES C/VOLQUETE DE 15M3 D= 25KM </v>
      </c>
      <c r="E408" s="132"/>
      <c r="F408" s="132"/>
      <c r="G408" s="132"/>
      <c r="H408" s="132"/>
      <c r="I408" s="132"/>
      <c r="J408" s="132"/>
      <c r="K408" s="120"/>
    </row>
    <row r="409" spans="3:11" ht="14.4" thickBot="1">
      <c r="C409" s="199"/>
      <c r="D409" s="115" t="s">
        <v>19</v>
      </c>
      <c r="E409" s="115" t="s">
        <v>13</v>
      </c>
      <c r="F409" s="116" t="s">
        <v>4</v>
      </c>
      <c r="G409" s="116" t="s">
        <v>5</v>
      </c>
      <c r="H409" s="116" t="s">
        <v>6</v>
      </c>
      <c r="I409" s="116" t="s">
        <v>32</v>
      </c>
      <c r="J409" s="116" t="s">
        <v>7</v>
      </c>
      <c r="K409" s="115" t="s">
        <v>3</v>
      </c>
    </row>
    <row r="410" spans="3:11" ht="14.4" thickTop="1">
      <c r="C410" s="199"/>
      <c r="D410" s="121"/>
      <c r="E410" s="134"/>
      <c r="F410" s="134"/>
      <c r="G410" s="134"/>
      <c r="H410" s="134"/>
      <c r="I410" s="134"/>
      <c r="J410" s="134"/>
      <c r="K410" s="122"/>
    </row>
    <row r="411" spans="3:11">
      <c r="C411" s="199"/>
      <c r="D411" s="198" t="s">
        <v>398</v>
      </c>
      <c r="E411" s="134"/>
      <c r="F411" s="134"/>
      <c r="G411" s="134"/>
      <c r="H411" s="134"/>
      <c r="I411" s="134"/>
      <c r="J411" s="134"/>
      <c r="K411" s="122"/>
    </row>
    <row r="412" spans="3:11">
      <c r="C412" s="199"/>
      <c r="D412" s="164"/>
      <c r="E412" s="134"/>
      <c r="F412" s="134"/>
      <c r="G412" s="200"/>
      <c r="H412" s="134"/>
      <c r="I412" s="134"/>
      <c r="J412" s="134"/>
      <c r="K412" s="123"/>
    </row>
    <row r="413" spans="3:11">
      <c r="C413" s="199"/>
      <c r="D413" s="230" t="s">
        <v>475</v>
      </c>
      <c r="E413" s="134">
        <v>1.25</v>
      </c>
      <c r="F413" s="134">
        <v>1</v>
      </c>
      <c r="G413" s="134" t="s">
        <v>59</v>
      </c>
      <c r="H413" s="134">
        <f>+J405</f>
        <v>75.898300000000006</v>
      </c>
      <c r="I413" s="134">
        <v>0.1</v>
      </c>
      <c r="J413" s="134">
        <f>I413*H413*E413*F413</f>
        <v>9.4872875000000008</v>
      </c>
      <c r="K413" s="123" t="s">
        <v>12</v>
      </c>
    </row>
    <row r="414" spans="3:11">
      <c r="C414" s="199"/>
      <c r="D414" s="130"/>
      <c r="E414" s="134"/>
      <c r="F414" s="134"/>
      <c r="G414" s="134"/>
      <c r="H414" s="134"/>
      <c r="I414" s="134"/>
      <c r="J414" s="134"/>
      <c r="K414" s="123"/>
    </row>
    <row r="415" spans="3:11" ht="27.6">
      <c r="C415" s="199"/>
      <c r="D415" s="245" t="str">
        <f>+CONCATENATE("TOTAL DE ",D408)</f>
        <v xml:space="preserve">TOTAL DE ELIMINACIÓN DE MATERIAL  EXCEDENTES C/VOLQUETE DE 15M3 D= 25KM </v>
      </c>
      <c r="E415" s="270"/>
      <c r="F415" s="270"/>
      <c r="G415" s="270"/>
      <c r="H415" s="270"/>
      <c r="I415" s="270"/>
      <c r="J415" s="241">
        <f>+J413</f>
        <v>9.4872875000000008</v>
      </c>
      <c r="K415" s="271" t="str">
        <f>+K413</f>
        <v>M3</v>
      </c>
    </row>
    <row r="416" spans="3:11">
      <c r="C416" s="199"/>
      <c r="E416" s="132"/>
      <c r="F416" s="132"/>
      <c r="G416" s="132"/>
      <c r="H416" s="132"/>
      <c r="I416" s="132"/>
      <c r="J416" s="132"/>
      <c r="K416" s="120"/>
    </row>
    <row r="417" spans="3:11">
      <c r="C417" s="159"/>
      <c r="E417" s="132"/>
      <c r="F417" s="132"/>
      <c r="G417" s="132"/>
      <c r="H417" s="132"/>
      <c r="I417" s="132"/>
      <c r="J417" s="132"/>
      <c r="K417" s="120"/>
    </row>
    <row r="418" spans="3:11">
      <c r="C418" s="158">
        <f>+C385+0.01</f>
        <v>4.0199999999999996</v>
      </c>
      <c r="D418" s="182" t="str">
        <f>RESUMEN!D60</f>
        <v>MOVIMIENTO DE TIERRAS</v>
      </c>
      <c r="E418" s="132"/>
      <c r="F418" s="132"/>
      <c r="G418" s="132"/>
      <c r="H418" s="132"/>
      <c r="I418" s="132"/>
      <c r="J418" s="132"/>
      <c r="K418" s="120"/>
    </row>
    <row r="419" spans="3:11">
      <c r="C419" s="159">
        <f>C418+0.0001</f>
        <v>4.0200999999999993</v>
      </c>
      <c r="D419" s="258" t="str">
        <f>RESUMEN!D61</f>
        <v>EXCAVACION A MANO EN TERRENO NORMAL</v>
      </c>
      <c r="E419" s="132"/>
      <c r="F419" s="132"/>
      <c r="G419" s="132"/>
      <c r="H419" s="132"/>
      <c r="I419" s="132"/>
      <c r="J419" s="132"/>
      <c r="K419" s="120"/>
    </row>
    <row r="420" spans="3:11" ht="14.4" thickBot="1">
      <c r="C420" s="159"/>
      <c r="D420" s="115" t="s">
        <v>19</v>
      </c>
      <c r="E420" s="115" t="s">
        <v>13</v>
      </c>
      <c r="F420" s="116" t="s">
        <v>4</v>
      </c>
      <c r="G420" s="116" t="s">
        <v>5</v>
      </c>
      <c r="H420" s="116" t="s">
        <v>6</v>
      </c>
      <c r="I420" s="116" t="s">
        <v>32</v>
      </c>
      <c r="J420" s="116" t="s">
        <v>7</v>
      </c>
      <c r="K420" s="115" t="s">
        <v>3</v>
      </c>
    </row>
    <row r="421" spans="3:11" ht="14.4" thickTop="1">
      <c r="C421" s="159"/>
      <c r="D421" s="311" t="s">
        <v>397</v>
      </c>
      <c r="E421" s="134"/>
      <c r="F421" s="134"/>
      <c r="G421" s="134"/>
      <c r="H421" s="134"/>
      <c r="I421" s="134"/>
      <c r="J421" s="134"/>
      <c r="K421" s="122"/>
    </row>
    <row r="422" spans="3:11">
      <c r="C422" s="159"/>
      <c r="D422" s="311"/>
      <c r="E422" s="134"/>
      <c r="F422" s="134"/>
      <c r="G422" s="134"/>
      <c r="H422" s="134"/>
      <c r="I422" s="134"/>
      <c r="J422" s="134"/>
      <c r="K422" s="129"/>
    </row>
    <row r="423" spans="3:11">
      <c r="C423" s="159"/>
      <c r="D423" s="131"/>
      <c r="E423" s="134"/>
      <c r="F423" s="134"/>
      <c r="G423" s="134"/>
      <c r="H423" s="134"/>
      <c r="I423" s="134"/>
      <c r="J423" s="134"/>
      <c r="K423" s="129"/>
    </row>
    <row r="424" spans="3:11">
      <c r="C424" s="159"/>
      <c r="D424" s="184" t="str">
        <f>D384</f>
        <v>LOSA DEPORTIVA MULTIUSOS</v>
      </c>
      <c r="E424" s="134"/>
      <c r="F424" s="134"/>
      <c r="G424" s="134"/>
      <c r="H424" s="134"/>
      <c r="I424" s="134"/>
      <c r="J424" s="134"/>
      <c r="K424" s="123" t="s">
        <v>12</v>
      </c>
    </row>
    <row r="425" spans="3:11">
      <c r="C425" s="159"/>
      <c r="D425" s="133"/>
      <c r="E425" s="134"/>
      <c r="F425" s="134"/>
      <c r="G425" s="134"/>
      <c r="H425" s="134"/>
      <c r="I425" s="134"/>
      <c r="J425" s="134"/>
      <c r="K425" s="123"/>
    </row>
    <row r="426" spans="3:11">
      <c r="C426" s="159"/>
      <c r="D426" s="197" t="s">
        <v>352</v>
      </c>
      <c r="E426" s="134">
        <v>1</v>
      </c>
      <c r="F426" s="134" t="s">
        <v>59</v>
      </c>
      <c r="G426" s="134">
        <f>J393</f>
        <v>41.5398</v>
      </c>
      <c r="H426" s="134"/>
      <c r="I426" s="134">
        <v>0.1</v>
      </c>
      <c r="J426" s="134">
        <f>+PRODUCT(E426:I426)</f>
        <v>4.1539799999999998</v>
      </c>
      <c r="K426" s="123"/>
    </row>
    <row r="427" spans="3:11">
      <c r="C427" s="159"/>
      <c r="D427" s="133"/>
      <c r="E427" s="134"/>
      <c r="F427" s="134"/>
      <c r="G427" s="134"/>
      <c r="H427" s="134"/>
      <c r="I427" s="134"/>
      <c r="J427" s="134"/>
      <c r="K427" s="122"/>
    </row>
    <row r="428" spans="3:11">
      <c r="C428" s="159"/>
      <c r="D428" s="245" t="str">
        <f>+CONCATENATE("TOTAL DE ",D419)</f>
        <v>TOTAL DE EXCAVACION A MANO EN TERRENO NORMAL</v>
      </c>
      <c r="E428" s="270"/>
      <c r="F428" s="270"/>
      <c r="G428" s="270"/>
      <c r="H428" s="270"/>
      <c r="I428" s="270"/>
      <c r="J428" s="241">
        <f>+SUM(J421:J427)</f>
        <v>4.1539799999999998</v>
      </c>
      <c r="K428" s="271" t="str">
        <f>+K424</f>
        <v>M3</v>
      </c>
    </row>
    <row r="429" spans="3:11">
      <c r="C429" s="159"/>
      <c r="E429" s="132"/>
      <c r="F429" s="132"/>
      <c r="G429" s="132"/>
      <c r="H429" s="132"/>
      <c r="I429" s="132"/>
      <c r="J429" s="132"/>
      <c r="K429" s="120"/>
    </row>
    <row r="430" spans="3:11">
      <c r="C430" s="159">
        <f>C419+0.0001</f>
        <v>4.0201999999999991</v>
      </c>
      <c r="D430" s="258" t="str">
        <f>RESUMEN!D62</f>
        <v xml:space="preserve">ELIMINACIÓN DE MATERIAL EXCEDENTE C/VOLQUETE DE 15M3 D= 25KM </v>
      </c>
      <c r="E430" s="132"/>
      <c r="F430" s="132"/>
      <c r="G430" s="132"/>
      <c r="H430" s="132"/>
      <c r="I430" s="132"/>
      <c r="J430" s="132"/>
      <c r="K430" s="120"/>
    </row>
    <row r="431" spans="3:11" ht="14.4" thickBot="1">
      <c r="C431" s="159"/>
      <c r="D431" s="115" t="s">
        <v>19</v>
      </c>
      <c r="E431" s="115" t="s">
        <v>13</v>
      </c>
      <c r="F431" s="116" t="s">
        <v>4</v>
      </c>
      <c r="G431" s="116" t="s">
        <v>5</v>
      </c>
      <c r="H431" s="116" t="s">
        <v>6</v>
      </c>
      <c r="I431" s="116" t="s">
        <v>11</v>
      </c>
      <c r="J431" s="116" t="s">
        <v>7</v>
      </c>
      <c r="K431" s="115" t="s">
        <v>3</v>
      </c>
    </row>
    <row r="432" spans="3:11" ht="14.4" thickTop="1">
      <c r="C432" s="159"/>
      <c r="D432" s="312" t="s">
        <v>354</v>
      </c>
      <c r="E432" s="134"/>
      <c r="F432" s="134"/>
      <c r="G432" s="134"/>
      <c r="H432" s="134"/>
      <c r="I432" s="134"/>
      <c r="J432" s="134"/>
      <c r="K432" s="122"/>
    </row>
    <row r="433" spans="3:11">
      <c r="C433" s="159"/>
      <c r="D433" s="312"/>
      <c r="E433" s="134"/>
      <c r="F433" s="134"/>
      <c r="G433" s="134"/>
      <c r="H433" s="134"/>
      <c r="I433" s="134"/>
      <c r="J433" s="134"/>
      <c r="K433" s="129"/>
    </row>
    <row r="434" spans="3:11">
      <c r="C434" s="159"/>
      <c r="D434" s="312"/>
      <c r="E434" s="134"/>
      <c r="F434" s="134"/>
      <c r="G434" s="134"/>
      <c r="H434" s="134"/>
      <c r="I434" s="134"/>
      <c r="J434" s="148"/>
      <c r="K434" s="122"/>
    </row>
    <row r="435" spans="3:11">
      <c r="C435" s="159"/>
      <c r="D435" s="231" t="s">
        <v>476</v>
      </c>
      <c r="E435" s="134">
        <v>1.25</v>
      </c>
      <c r="F435" s="134">
        <v>1</v>
      </c>
      <c r="G435" s="134" t="s">
        <v>15</v>
      </c>
      <c r="H435" s="134">
        <f>+J428</f>
        <v>4.1539799999999998</v>
      </c>
      <c r="I435" s="134"/>
      <c r="J435" s="134">
        <f>E435*H435</f>
        <v>5.192475</v>
      </c>
      <c r="K435" s="123" t="s">
        <v>12</v>
      </c>
    </row>
    <row r="436" spans="3:11">
      <c r="C436" s="159"/>
      <c r="D436" s="131"/>
      <c r="E436" s="134"/>
      <c r="F436" s="134"/>
      <c r="G436" s="134"/>
      <c r="H436" s="134"/>
      <c r="I436" s="134"/>
      <c r="J436" s="134"/>
      <c r="K436" s="122"/>
    </row>
    <row r="437" spans="3:11" ht="27.6">
      <c r="C437" s="159"/>
      <c r="D437" s="289" t="str">
        <f>+CONCATENATE("TOTAL DE ",D430)</f>
        <v xml:space="preserve">TOTAL DE ELIMINACIÓN DE MATERIAL EXCEDENTE C/VOLQUETE DE 15M3 D= 25KM </v>
      </c>
      <c r="E437" s="270"/>
      <c r="F437" s="270"/>
      <c r="G437" s="270"/>
      <c r="H437" s="270"/>
      <c r="I437" s="270"/>
      <c r="J437" s="241">
        <f>+SUM(J432:J436)</f>
        <v>5.192475</v>
      </c>
      <c r="K437" s="271" t="str">
        <f>+K435</f>
        <v>M3</v>
      </c>
    </row>
    <row r="438" spans="3:11">
      <c r="C438" s="159"/>
      <c r="E438" s="132"/>
      <c r="F438" s="132"/>
      <c r="G438" s="132"/>
      <c r="H438" s="132"/>
      <c r="I438" s="132"/>
      <c r="J438" s="132"/>
      <c r="K438" s="120"/>
    </row>
    <row r="439" spans="3:11">
      <c r="C439" s="159">
        <f>C430+0.0001</f>
        <v>4.0202999999999989</v>
      </c>
      <c r="D439" s="258" t="str">
        <f>RESUMEN!D63</f>
        <v>CONFORMACION Y COMPACTACIÓN DE SUBRASANTE CON MOTONIVELADORA 125HP</v>
      </c>
      <c r="E439" s="132"/>
      <c r="F439" s="132"/>
      <c r="G439" s="132"/>
      <c r="H439" s="132"/>
      <c r="I439" s="132"/>
      <c r="J439" s="132"/>
      <c r="K439" s="120"/>
    </row>
    <row r="440" spans="3:11">
      <c r="C440" s="159"/>
      <c r="E440" s="132"/>
      <c r="F440" s="132"/>
      <c r="G440" s="132"/>
      <c r="H440" s="132"/>
      <c r="I440" s="132"/>
      <c r="J440" s="132"/>
      <c r="K440" s="120"/>
    </row>
    <row r="441" spans="3:11" ht="14.4" thickBot="1">
      <c r="C441" s="159"/>
      <c r="D441" s="115" t="s">
        <v>19</v>
      </c>
      <c r="E441" s="115" t="s">
        <v>13</v>
      </c>
      <c r="F441" s="116" t="s">
        <v>4</v>
      </c>
      <c r="G441" s="116" t="s">
        <v>5</v>
      </c>
      <c r="H441" s="116" t="s">
        <v>6</v>
      </c>
      <c r="I441" s="116" t="s">
        <v>11</v>
      </c>
      <c r="J441" s="116" t="s">
        <v>7</v>
      </c>
      <c r="K441" s="115" t="s">
        <v>3</v>
      </c>
    </row>
    <row r="442" spans="3:11" ht="14.4" thickTop="1">
      <c r="C442" s="159"/>
      <c r="D442" s="312" t="s">
        <v>23</v>
      </c>
      <c r="E442" s="134"/>
      <c r="F442" s="134"/>
      <c r="G442" s="134"/>
      <c r="H442" s="134"/>
      <c r="I442" s="134"/>
      <c r="J442" s="134"/>
      <c r="K442" s="122"/>
    </row>
    <row r="443" spans="3:11">
      <c r="C443" s="159"/>
      <c r="D443" s="312"/>
      <c r="E443" s="134"/>
      <c r="F443" s="134"/>
      <c r="G443" s="134"/>
      <c r="H443" s="134"/>
      <c r="I443" s="134"/>
      <c r="J443" s="134"/>
      <c r="K443" s="129"/>
    </row>
    <row r="444" spans="3:11">
      <c r="C444" s="159"/>
      <c r="D444" s="312"/>
      <c r="E444" s="134"/>
      <c r="F444" s="134"/>
      <c r="G444" s="134"/>
      <c r="H444" s="134"/>
      <c r="I444" s="134"/>
      <c r="J444" s="148"/>
      <c r="K444" s="122"/>
    </row>
    <row r="445" spans="3:11">
      <c r="C445" s="159"/>
      <c r="D445" s="184" t="str">
        <f>D574</f>
        <v>DESCRIPCION</v>
      </c>
      <c r="E445" s="134"/>
      <c r="F445" s="134"/>
      <c r="G445" s="134"/>
      <c r="H445" s="134"/>
      <c r="I445" s="134"/>
      <c r="J445" s="148"/>
      <c r="K445" s="191" t="s">
        <v>10</v>
      </c>
    </row>
    <row r="446" spans="3:11">
      <c r="C446" s="159"/>
      <c r="D446" s="203"/>
      <c r="E446" s="134"/>
      <c r="F446" s="134"/>
      <c r="G446" s="134"/>
      <c r="H446" s="134"/>
      <c r="I446" s="134"/>
      <c r="J446" s="148"/>
      <c r="K446" s="122"/>
    </row>
    <row r="447" spans="3:11">
      <c r="C447" s="159"/>
      <c r="D447" s="197" t="s">
        <v>352</v>
      </c>
      <c r="E447" s="134">
        <v>1</v>
      </c>
      <c r="F447" s="134">
        <v>1</v>
      </c>
      <c r="G447" s="134" t="s">
        <v>356</v>
      </c>
      <c r="H447" s="134">
        <f>J395</f>
        <v>41.5398</v>
      </c>
      <c r="I447" s="134"/>
      <c r="J447" s="134">
        <f t="shared" ref="J447" si="12">+PRODUCT(E447:I447)</f>
        <v>41.5398</v>
      </c>
      <c r="K447" s="122"/>
    </row>
    <row r="448" spans="3:11">
      <c r="C448" s="159"/>
      <c r="D448" s="232" t="s">
        <v>476</v>
      </c>
      <c r="E448" s="134"/>
      <c r="F448" s="134"/>
      <c r="G448" s="134"/>
      <c r="H448" s="132"/>
      <c r="I448" s="134"/>
      <c r="J448" s="134"/>
      <c r="K448" s="123"/>
    </row>
    <row r="449" spans="3:11" ht="9" customHeight="1">
      <c r="C449" s="159"/>
      <c r="D449" s="232"/>
      <c r="E449" s="134"/>
      <c r="F449" s="134"/>
      <c r="G449" s="134"/>
      <c r="H449" s="132"/>
      <c r="I449" s="134"/>
      <c r="J449" s="134"/>
      <c r="K449" s="123"/>
    </row>
    <row r="450" spans="3:11" ht="13.8" customHeight="1">
      <c r="C450" s="159"/>
      <c r="D450" s="111" t="str">
        <f>+CONCATENATE("TOTAL DE ",D439)</f>
        <v>TOTAL DE CONFORMACION Y COMPACTACIÓN DE SUBRASANTE CON MOTONIVELADORA 125HP</v>
      </c>
      <c r="E450" s="135"/>
      <c r="F450" s="135"/>
      <c r="G450" s="135"/>
      <c r="H450" s="132"/>
      <c r="I450" s="135"/>
      <c r="J450" s="136">
        <f>+SUM(J447:J447)</f>
        <v>41.5398</v>
      </c>
      <c r="K450" s="124" t="str">
        <f>+K445</f>
        <v>M2</v>
      </c>
    </row>
    <row r="451" spans="3:11">
      <c r="C451" s="159"/>
      <c r="D451" s="125"/>
      <c r="E451" s="146"/>
      <c r="F451" s="146"/>
      <c r="G451" s="146"/>
      <c r="H451" s="146"/>
      <c r="I451" s="146"/>
      <c r="J451" s="146"/>
      <c r="K451" s="126"/>
    </row>
    <row r="452" spans="3:11">
      <c r="C452" s="159"/>
      <c r="E452" s="132"/>
      <c r="F452" s="132"/>
      <c r="G452" s="132"/>
      <c r="H452" s="132"/>
      <c r="I452" s="132"/>
      <c r="J452" s="132"/>
      <c r="K452" s="120"/>
    </row>
    <row r="453" spans="3:11" ht="13.8" customHeight="1">
      <c r="C453" s="158">
        <f>C418+0.01</f>
        <v>4.0299999999999994</v>
      </c>
      <c r="D453" s="257" t="str">
        <f>RESUMEN!D64</f>
        <v>BASE</v>
      </c>
      <c r="E453" s="132"/>
      <c r="F453" s="132"/>
      <c r="G453" s="132"/>
      <c r="H453" s="132"/>
      <c r="I453" s="132"/>
      <c r="J453" s="132"/>
      <c r="K453" s="113"/>
    </row>
    <row r="454" spans="3:11">
      <c r="C454" s="159">
        <f>C453+0.0001</f>
        <v>4.0300999999999991</v>
      </c>
      <c r="D454" s="258" t="str">
        <f>RESUMEN!D65</f>
        <v>RELLENO Y COMPACTADO DE BASE GRANULAR E=0.10 m</v>
      </c>
      <c r="E454" s="132"/>
      <c r="F454" s="132"/>
      <c r="G454" s="132"/>
      <c r="H454" s="132"/>
      <c r="I454" s="132"/>
      <c r="J454" s="132"/>
      <c r="K454" s="120"/>
    </row>
    <row r="455" spans="3:11" ht="14.4" thickBot="1">
      <c r="C455" s="159"/>
      <c r="D455" s="115" t="s">
        <v>19</v>
      </c>
      <c r="E455" s="115" t="s">
        <v>13</v>
      </c>
      <c r="F455" s="116" t="s">
        <v>4</v>
      </c>
      <c r="G455" s="116" t="s">
        <v>5</v>
      </c>
      <c r="H455" s="116" t="s">
        <v>6</v>
      </c>
      <c r="I455" s="116" t="s">
        <v>11</v>
      </c>
      <c r="J455" s="116" t="s">
        <v>7</v>
      </c>
      <c r="K455" s="115" t="s">
        <v>3</v>
      </c>
    </row>
    <row r="456" spans="3:11" ht="28.2" thickTop="1">
      <c r="C456" s="159"/>
      <c r="D456" s="198" t="s">
        <v>358</v>
      </c>
      <c r="E456" s="134"/>
      <c r="F456" s="134"/>
      <c r="G456" s="134"/>
      <c r="H456" s="134"/>
      <c r="I456" s="134"/>
      <c r="J456" s="134"/>
      <c r="K456" s="122"/>
    </row>
    <row r="457" spans="3:11">
      <c r="C457" s="159"/>
      <c r="D457" s="198"/>
      <c r="E457" s="134"/>
      <c r="F457" s="134"/>
      <c r="G457" s="134"/>
      <c r="H457" s="134"/>
      <c r="I457" s="134"/>
      <c r="J457" s="134"/>
      <c r="K457" s="129"/>
    </row>
    <row r="458" spans="3:11">
      <c r="C458" s="159"/>
      <c r="D458" s="183" t="str">
        <f>D391</f>
        <v>LOSA DEPORTIVA MULTIUSOS</v>
      </c>
      <c r="E458" s="134"/>
      <c r="F458" s="134"/>
      <c r="G458" s="134"/>
      <c r="H458" s="134"/>
      <c r="I458" s="134"/>
      <c r="J458" s="148"/>
      <c r="K458" s="191" t="s">
        <v>10</v>
      </c>
    </row>
    <row r="459" spans="3:11">
      <c r="C459" s="159"/>
      <c r="D459" s="183"/>
      <c r="E459" s="134"/>
      <c r="F459" s="134"/>
      <c r="G459" s="134"/>
      <c r="H459" s="134"/>
      <c r="I459" s="134"/>
      <c r="J459" s="148"/>
      <c r="K459" s="191"/>
    </row>
    <row r="460" spans="3:11">
      <c r="C460" s="159"/>
      <c r="D460" s="202" t="str">
        <f>D393</f>
        <v>NUEVO PAÑO</v>
      </c>
      <c r="E460" s="134">
        <v>1</v>
      </c>
      <c r="G460" s="134" t="s">
        <v>59</v>
      </c>
      <c r="H460" s="134">
        <f>+J395</f>
        <v>41.5398</v>
      </c>
      <c r="I460" s="134"/>
      <c r="J460" s="134">
        <f>+PRODUCT(E460:I460)</f>
        <v>41.5398</v>
      </c>
      <c r="K460" s="122"/>
    </row>
    <row r="461" spans="3:11">
      <c r="C461" s="159"/>
      <c r="D461" s="232" t="s">
        <v>477</v>
      </c>
      <c r="E461" s="134"/>
      <c r="G461" s="134"/>
      <c r="H461" s="134"/>
      <c r="I461" s="134"/>
      <c r="J461" s="134"/>
      <c r="K461" s="122"/>
    </row>
    <row r="462" spans="3:11">
      <c r="C462" s="159"/>
      <c r="D462" s="131"/>
      <c r="E462" s="134"/>
      <c r="F462" s="134"/>
      <c r="G462" s="134"/>
      <c r="H462" s="134"/>
      <c r="I462" s="134"/>
      <c r="J462" s="134"/>
      <c r="K462" s="122"/>
    </row>
    <row r="463" spans="3:11">
      <c r="C463" s="159"/>
      <c r="D463" s="111" t="str">
        <f>+CONCATENATE("TOTAL DE ",D454)</f>
        <v>TOTAL DE RELLENO Y COMPACTADO DE BASE GRANULAR E=0.10 m</v>
      </c>
      <c r="E463" s="135"/>
      <c r="F463" s="135"/>
      <c r="G463" s="135"/>
      <c r="H463" s="135"/>
      <c r="I463" s="135"/>
      <c r="J463" s="136">
        <f>SUM(J460:J462)</f>
        <v>41.5398</v>
      </c>
      <c r="K463" s="124" t="str">
        <f>+K458</f>
        <v>M2</v>
      </c>
    </row>
    <row r="464" spans="3:11">
      <c r="C464" s="159"/>
      <c r="D464" s="125"/>
      <c r="E464" s="146"/>
      <c r="F464" s="146"/>
      <c r="G464" s="146"/>
      <c r="H464" s="146"/>
      <c r="I464" s="146"/>
      <c r="J464" s="146"/>
      <c r="K464" s="126"/>
    </row>
    <row r="465" spans="3:11">
      <c r="C465" s="114"/>
      <c r="E465" s="132"/>
      <c r="F465" s="132"/>
      <c r="G465" s="132"/>
      <c r="H465" s="132"/>
      <c r="I465" s="132"/>
      <c r="J465" s="132"/>
      <c r="K465" s="120"/>
    </row>
    <row r="466" spans="3:11">
      <c r="C466" s="158">
        <f>+C453+0.01</f>
        <v>4.0399999999999991</v>
      </c>
      <c r="D466" s="260" t="str">
        <f>RESUMEN!D66</f>
        <v>CONCRETO SIMPLE</v>
      </c>
      <c r="E466" s="132"/>
      <c r="F466" s="132"/>
      <c r="G466" s="132"/>
      <c r="H466" s="132"/>
      <c r="I466" s="132"/>
      <c r="J466" s="132"/>
      <c r="K466" s="120"/>
    </row>
    <row r="467" spans="3:11">
      <c r="C467" s="159">
        <f>C466+0.0001</f>
        <v>4.0400999999999989</v>
      </c>
      <c r="D467" s="258" t="str">
        <f>RESUMEN!D67</f>
        <v>ENCOFRADO Y DESENCOFRADO NORMAL PARA LOSA DEPORTIVA</v>
      </c>
      <c r="E467" s="132"/>
      <c r="F467" s="132"/>
      <c r="G467" s="132"/>
      <c r="H467" s="132"/>
      <c r="I467" s="132"/>
      <c r="J467" s="132"/>
      <c r="K467" s="120"/>
    </row>
    <row r="468" spans="3:11">
      <c r="C468" s="159"/>
      <c r="D468" s="166"/>
      <c r="E468" s="132"/>
      <c r="F468" s="132"/>
      <c r="G468" s="132"/>
      <c r="H468" s="132"/>
      <c r="I468" s="132"/>
      <c r="J468" s="132"/>
      <c r="K468" s="120"/>
    </row>
    <row r="469" spans="3:11" ht="14.4" thickBot="1">
      <c r="C469" s="159"/>
      <c r="D469" s="115" t="s">
        <v>19</v>
      </c>
      <c r="E469" s="115" t="s">
        <v>13</v>
      </c>
      <c r="F469" s="116" t="s">
        <v>4</v>
      </c>
      <c r="G469" s="116" t="s">
        <v>5</v>
      </c>
      <c r="H469" s="116" t="s">
        <v>6</v>
      </c>
      <c r="I469" s="116" t="s">
        <v>11</v>
      </c>
      <c r="J469" s="116" t="s">
        <v>7</v>
      </c>
      <c r="K469" s="115" t="s">
        <v>3</v>
      </c>
    </row>
    <row r="470" spans="3:11" ht="14.4" thickTop="1">
      <c r="C470" s="159"/>
      <c r="D470" s="121"/>
      <c r="E470" s="134"/>
      <c r="F470" s="134"/>
      <c r="G470" s="134"/>
      <c r="H470" s="134"/>
      <c r="I470" s="134"/>
      <c r="J470" s="134"/>
      <c r="K470" s="122"/>
    </row>
    <row r="471" spans="3:11">
      <c r="C471" s="159"/>
      <c r="D471" s="311" t="s">
        <v>399</v>
      </c>
      <c r="E471" s="134"/>
      <c r="F471" s="134"/>
      <c r="G471" s="134"/>
      <c r="H471" s="134"/>
      <c r="I471" s="134"/>
      <c r="J471" s="134"/>
      <c r="K471" s="129"/>
    </row>
    <row r="472" spans="3:11">
      <c r="C472" s="159"/>
      <c r="D472" s="311"/>
      <c r="E472" s="134"/>
      <c r="F472" s="134"/>
      <c r="G472" s="134"/>
      <c r="H472" s="134"/>
      <c r="I472" s="134"/>
      <c r="J472" s="148"/>
      <c r="K472" s="122"/>
    </row>
    <row r="473" spans="3:11">
      <c r="C473" s="159"/>
      <c r="D473" s="204"/>
      <c r="E473" s="134"/>
      <c r="F473" s="134"/>
      <c r="G473" s="134"/>
      <c r="H473" s="134"/>
      <c r="I473" s="134"/>
      <c r="J473" s="134"/>
      <c r="K473" s="123"/>
    </row>
    <row r="474" spans="3:11">
      <c r="C474" s="159"/>
      <c r="D474" s="183" t="str">
        <f>+D486</f>
        <v>LOSA DEPORTIVA</v>
      </c>
      <c r="E474" s="134"/>
      <c r="F474" s="134"/>
      <c r="G474" s="134"/>
      <c r="H474" s="134"/>
      <c r="I474" s="134"/>
      <c r="J474" s="148"/>
      <c r="K474" s="191" t="s">
        <v>10</v>
      </c>
    </row>
    <row r="475" spans="3:11">
      <c r="C475" s="159"/>
      <c r="D475" s="203"/>
      <c r="E475" s="134"/>
      <c r="F475" s="134"/>
      <c r="G475" s="134"/>
      <c r="H475" s="134"/>
      <c r="I475" s="134"/>
      <c r="J475" s="148"/>
      <c r="K475" s="124"/>
    </row>
    <row r="476" spans="3:11">
      <c r="C476" s="159"/>
      <c r="D476" s="202" t="str">
        <f>+D488</f>
        <v>NUEVO PAÑO    e=0.10</v>
      </c>
      <c r="E476" s="134">
        <v>2</v>
      </c>
      <c r="F476" s="134">
        <v>1</v>
      </c>
      <c r="G476" s="134">
        <v>21.974299999999999</v>
      </c>
      <c r="H476" s="134"/>
      <c r="I476" s="134">
        <v>0.1</v>
      </c>
      <c r="J476" s="134">
        <f>+PRODUCT(E476:I476)</f>
        <v>4.3948600000000004</v>
      </c>
      <c r="K476" s="123"/>
    </row>
    <row r="477" spans="3:11">
      <c r="C477" s="159"/>
      <c r="D477" s="130"/>
      <c r="E477" s="134"/>
      <c r="F477" s="134"/>
      <c r="G477" s="134"/>
      <c r="H477" s="132"/>
      <c r="I477" s="134"/>
      <c r="J477" s="134"/>
      <c r="K477" s="123"/>
    </row>
    <row r="478" spans="3:11" ht="27.6">
      <c r="C478" s="159"/>
      <c r="D478" s="111" t="s">
        <v>359</v>
      </c>
      <c r="E478" s="135"/>
      <c r="F478" s="135"/>
      <c r="G478" s="135"/>
      <c r="H478" s="132"/>
      <c r="I478" s="135"/>
      <c r="J478" s="136">
        <f>SUM(J476:J476)</f>
        <v>4.3948600000000004</v>
      </c>
      <c r="K478" s="261" t="str">
        <f>+K474</f>
        <v>M2</v>
      </c>
    </row>
    <row r="479" spans="3:11">
      <c r="C479" s="159"/>
      <c r="D479" s="125"/>
      <c r="E479" s="146"/>
      <c r="F479" s="146"/>
      <c r="G479" s="146"/>
      <c r="H479" s="146"/>
      <c r="I479" s="146"/>
      <c r="J479" s="146"/>
      <c r="K479" s="126"/>
    </row>
    <row r="480" spans="3:11">
      <c r="C480" s="159"/>
      <c r="D480" s="166"/>
      <c r="E480" s="132"/>
      <c r="F480" s="132"/>
      <c r="G480" s="132"/>
      <c r="H480" s="132"/>
      <c r="I480" s="132"/>
      <c r="J480" s="132"/>
      <c r="K480" s="120"/>
    </row>
    <row r="481" spans="3:11">
      <c r="C481" s="159">
        <f>C467+0.0001</f>
        <v>4.0401999999999987</v>
      </c>
      <c r="D481" s="258" t="str">
        <f>RESUMEN!D68</f>
        <v>CONCRETO f'c=175 kg/cm2 PARA LOSA DEPORTIVA  e=0.10</v>
      </c>
      <c r="E481" s="132"/>
      <c r="F481" s="132"/>
      <c r="G481" s="132"/>
      <c r="H481" s="132"/>
      <c r="I481" s="132"/>
      <c r="J481" s="132"/>
      <c r="K481" s="120"/>
    </row>
    <row r="482" spans="3:11" ht="14.4" thickBot="1">
      <c r="C482" s="159"/>
      <c r="D482" s="115" t="s">
        <v>19</v>
      </c>
      <c r="E482" s="115" t="s">
        <v>13</v>
      </c>
      <c r="F482" s="116" t="s">
        <v>4</v>
      </c>
      <c r="G482" s="116" t="s">
        <v>5</v>
      </c>
      <c r="H482" s="116" t="s">
        <v>6</v>
      </c>
      <c r="I482" s="116" t="s">
        <v>11</v>
      </c>
      <c r="J482" s="116" t="s">
        <v>7</v>
      </c>
      <c r="K482" s="115" t="s">
        <v>3</v>
      </c>
    </row>
    <row r="483" spans="3:11" ht="14.4" thickTop="1">
      <c r="C483" s="159"/>
      <c r="D483" s="121"/>
      <c r="E483" s="134"/>
      <c r="F483" s="134"/>
      <c r="G483" s="134"/>
      <c r="H483" s="134"/>
      <c r="I483" s="134"/>
      <c r="J483" s="134"/>
      <c r="K483" s="122"/>
    </row>
    <row r="484" spans="3:11" ht="27.6">
      <c r="C484" s="159"/>
      <c r="D484" s="198" t="s">
        <v>400</v>
      </c>
      <c r="E484" s="134"/>
      <c r="F484" s="134"/>
      <c r="G484" s="134"/>
      <c r="H484" s="134"/>
      <c r="I484" s="134"/>
      <c r="J484" s="134"/>
      <c r="K484" s="129"/>
    </row>
    <row r="485" spans="3:11">
      <c r="C485" s="159"/>
      <c r="D485" s="204"/>
      <c r="E485" s="134"/>
      <c r="F485" s="134"/>
      <c r="G485" s="134"/>
      <c r="H485" s="134"/>
      <c r="I485" s="134"/>
      <c r="J485" s="134"/>
      <c r="K485" s="123"/>
    </row>
    <row r="486" spans="3:11">
      <c r="C486" s="159"/>
      <c r="D486" s="183" t="s">
        <v>348</v>
      </c>
      <c r="E486" s="134"/>
      <c r="F486" s="134"/>
      <c r="G486" s="134"/>
      <c r="H486" s="134"/>
      <c r="I486" s="134"/>
      <c r="J486" s="148"/>
      <c r="K486" s="121"/>
    </row>
    <row r="487" spans="3:11">
      <c r="C487" s="159"/>
      <c r="D487" s="203"/>
      <c r="E487" s="134"/>
      <c r="F487" s="134"/>
      <c r="G487" s="134"/>
      <c r="H487" s="134"/>
      <c r="I487" s="134"/>
      <c r="J487" s="148"/>
      <c r="K487" s="124"/>
    </row>
    <row r="488" spans="3:11">
      <c r="C488" s="159"/>
      <c r="D488" s="202" t="s">
        <v>574</v>
      </c>
      <c r="E488" s="134">
        <v>1</v>
      </c>
      <c r="F488" s="134" t="s">
        <v>59</v>
      </c>
      <c r="G488" s="134">
        <f>G426</f>
        <v>41.5398</v>
      </c>
      <c r="H488" s="134"/>
      <c r="I488" s="134"/>
      <c r="J488" s="134">
        <f>+PRODUCT(E488:I488)</f>
        <v>41.5398</v>
      </c>
      <c r="K488" s="191" t="s">
        <v>10</v>
      </c>
    </row>
    <row r="489" spans="3:11">
      <c r="C489" s="159"/>
      <c r="D489" s="202"/>
      <c r="E489" s="134"/>
      <c r="F489" s="134"/>
      <c r="G489" s="134"/>
      <c r="H489" s="132"/>
      <c r="I489" s="134"/>
      <c r="J489" s="134"/>
      <c r="K489" s="123"/>
    </row>
    <row r="490" spans="3:11" ht="27.6">
      <c r="C490" s="159"/>
      <c r="D490" s="111" t="s">
        <v>357</v>
      </c>
      <c r="E490" s="135"/>
      <c r="F490" s="135"/>
      <c r="G490" s="135"/>
      <c r="H490" s="132"/>
      <c r="I490" s="135"/>
      <c r="J490" s="136">
        <f>SUM(J488:J488)</f>
        <v>41.5398</v>
      </c>
      <c r="K490" s="124" t="str">
        <f>+K488</f>
        <v>M2</v>
      </c>
    </row>
    <row r="491" spans="3:11">
      <c r="C491" s="159"/>
      <c r="D491" s="125"/>
      <c r="E491" s="146"/>
      <c r="F491" s="146"/>
      <c r="G491" s="146"/>
      <c r="H491" s="146"/>
      <c r="I491" s="146"/>
      <c r="J491" s="146"/>
      <c r="K491" s="126"/>
    </row>
    <row r="492" spans="3:11">
      <c r="C492" s="159"/>
      <c r="E492" s="132"/>
      <c r="F492" s="132"/>
      <c r="G492" s="132"/>
      <c r="H492" s="132"/>
      <c r="I492" s="132"/>
      <c r="J492" s="132"/>
      <c r="K492" s="120"/>
    </row>
    <row r="493" spans="3:11">
      <c r="C493" s="159">
        <f>C481+0.0001</f>
        <v>4.0402999999999984</v>
      </c>
      <c r="D493" s="258" t="str">
        <f>RESUMEN!D69</f>
        <v>CURADO DE CONCRETO CON ADITIVO</v>
      </c>
      <c r="E493" s="132"/>
      <c r="F493" s="132"/>
      <c r="G493" s="132"/>
      <c r="H493" s="132"/>
      <c r="I493" s="132"/>
      <c r="J493" s="132"/>
      <c r="K493" s="120"/>
    </row>
    <row r="494" spans="3:11">
      <c r="C494" s="159"/>
      <c r="D494" s="118" t="s">
        <v>19</v>
      </c>
      <c r="E494" s="118" t="s">
        <v>13</v>
      </c>
      <c r="F494" s="205" t="s">
        <v>4</v>
      </c>
      <c r="G494" s="205" t="s">
        <v>5</v>
      </c>
      <c r="H494" s="205" t="s">
        <v>6</v>
      </c>
      <c r="I494" s="205" t="s">
        <v>11</v>
      </c>
      <c r="J494" s="205" t="s">
        <v>7</v>
      </c>
      <c r="K494" s="118" t="s">
        <v>3</v>
      </c>
    </row>
    <row r="495" spans="3:11">
      <c r="C495" s="159"/>
      <c r="D495" s="142"/>
      <c r="E495" s="206"/>
      <c r="F495" s="206"/>
      <c r="G495" s="206"/>
      <c r="H495" s="206"/>
      <c r="I495" s="206"/>
      <c r="J495" s="206"/>
      <c r="K495" s="207"/>
    </row>
    <row r="496" spans="3:11">
      <c r="C496" s="159"/>
      <c r="D496" s="311" t="s">
        <v>26</v>
      </c>
      <c r="E496" s="134"/>
      <c r="F496" s="134"/>
      <c r="G496" s="134"/>
      <c r="H496" s="134"/>
      <c r="I496" s="134"/>
      <c r="J496" s="134"/>
      <c r="K496" s="129"/>
    </row>
    <row r="497" spans="3:11">
      <c r="C497" s="159"/>
      <c r="D497" s="311"/>
      <c r="E497" s="134"/>
      <c r="F497" s="134"/>
      <c r="G497" s="134"/>
      <c r="H497" s="134"/>
      <c r="I497" s="134"/>
      <c r="J497" s="148"/>
      <c r="K497" s="122"/>
    </row>
    <row r="498" spans="3:11">
      <c r="C498" s="159"/>
      <c r="D498" s="204" t="s">
        <v>352</v>
      </c>
      <c r="E498" s="134">
        <v>1</v>
      </c>
      <c r="F498" s="134">
        <v>1</v>
      </c>
      <c r="G498" s="134" t="s">
        <v>14</v>
      </c>
      <c r="H498" s="134">
        <v>41.54</v>
      </c>
      <c r="I498" s="134"/>
      <c r="J498" s="134">
        <f t="shared" ref="J498" si="13">+PRODUCT(E498:I498)</f>
        <v>41.54</v>
      </c>
      <c r="K498" s="123" t="s">
        <v>10</v>
      </c>
    </row>
    <row r="499" spans="3:11">
      <c r="C499" s="159"/>
      <c r="D499" s="131"/>
      <c r="E499" s="134"/>
      <c r="F499" s="134"/>
      <c r="G499" s="134"/>
      <c r="H499" s="134"/>
      <c r="I499" s="134"/>
      <c r="J499" s="134"/>
      <c r="K499" s="122"/>
    </row>
    <row r="500" spans="3:11">
      <c r="C500" s="159"/>
      <c r="D500" s="245" t="str">
        <f>+CONCATENATE("TOTAL DE ",D493)</f>
        <v>TOTAL DE CURADO DE CONCRETO CON ADITIVO</v>
      </c>
      <c r="E500" s="270"/>
      <c r="F500" s="270"/>
      <c r="G500" s="270"/>
      <c r="H500" s="270"/>
      <c r="I500" s="270"/>
      <c r="J500" s="241">
        <f>+SUM(J495:J499)</f>
        <v>41.54</v>
      </c>
      <c r="K500" s="271" t="str">
        <f>+K498</f>
        <v>M2</v>
      </c>
    </row>
    <row r="501" spans="3:11">
      <c r="C501" s="159"/>
      <c r="D501" s="221"/>
      <c r="E501" s="278"/>
      <c r="F501" s="278"/>
      <c r="G501" s="278"/>
      <c r="H501" s="278"/>
      <c r="I501" s="278"/>
      <c r="J501" s="278"/>
      <c r="K501" s="292"/>
    </row>
    <row r="502" spans="3:11">
      <c r="C502" s="158">
        <f>C466+0.01</f>
        <v>4.0499999999999989</v>
      </c>
      <c r="D502" s="257" t="str">
        <f>RESUMEN!D85</f>
        <v>PINTURA</v>
      </c>
      <c r="E502" s="278"/>
      <c r="F502" s="278"/>
      <c r="G502" s="278"/>
      <c r="H502" s="278"/>
      <c r="I502" s="278"/>
      <c r="J502" s="278"/>
      <c r="K502" s="292"/>
    </row>
    <row r="503" spans="3:11">
      <c r="C503" s="159">
        <f>C493+0.0001</f>
        <v>4.0403999999999982</v>
      </c>
      <c r="D503" s="294" t="str">
        <f>RESUMEN!D71</f>
        <v>PINTURA DE TRAFICO EN DEMARCACION DE LOSA DEPORTIVA MULTIUSOS</v>
      </c>
      <c r="E503" s="293"/>
      <c r="F503" s="293"/>
      <c r="G503" s="293"/>
      <c r="H503" s="293"/>
      <c r="I503" s="293"/>
      <c r="J503" s="293"/>
      <c r="K503" s="295"/>
    </row>
    <row r="504" spans="3:11">
      <c r="C504" s="159"/>
      <c r="D504" s="118" t="s">
        <v>19</v>
      </c>
      <c r="E504" s="118" t="s">
        <v>13</v>
      </c>
      <c r="F504" s="205" t="s">
        <v>4</v>
      </c>
      <c r="G504" s="205" t="s">
        <v>5</v>
      </c>
      <c r="H504" s="205" t="s">
        <v>6</v>
      </c>
      <c r="I504" s="205" t="s">
        <v>11</v>
      </c>
      <c r="J504" s="205" t="s">
        <v>7</v>
      </c>
      <c r="K504" s="118" t="s">
        <v>3</v>
      </c>
    </row>
    <row r="505" spans="3:11">
      <c r="C505" s="159"/>
      <c r="D505" s="142"/>
      <c r="E505" s="206"/>
      <c r="F505" s="206"/>
      <c r="G505" s="206"/>
      <c r="H505" s="206"/>
      <c r="I505" s="206"/>
      <c r="J505" s="206"/>
      <c r="K505" s="207"/>
    </row>
    <row r="506" spans="3:11">
      <c r="C506" s="159"/>
      <c r="D506" s="311" t="s">
        <v>608</v>
      </c>
      <c r="E506" s="134"/>
      <c r="F506" s="134"/>
      <c r="G506" s="134"/>
      <c r="H506" s="134"/>
      <c r="I506" s="134"/>
      <c r="J506" s="134"/>
      <c r="K506" s="129"/>
    </row>
    <row r="507" spans="3:11">
      <c r="C507" s="159"/>
      <c r="D507" s="311"/>
      <c r="E507" s="134"/>
      <c r="F507" s="134"/>
      <c r="G507" s="134"/>
      <c r="H507" s="280"/>
      <c r="I507" s="134"/>
      <c r="J507" s="148"/>
      <c r="K507" s="122"/>
    </row>
    <row r="508" spans="3:11">
      <c r="C508" s="159"/>
      <c r="D508" s="204" t="s">
        <v>632</v>
      </c>
      <c r="E508" s="134">
        <v>1</v>
      </c>
      <c r="F508" s="134">
        <v>1</v>
      </c>
      <c r="G508" s="134">
        <v>167.17</v>
      </c>
      <c r="H508" s="280">
        <v>0.1</v>
      </c>
      <c r="I508" s="134"/>
      <c r="J508" s="134">
        <f>E508*F508*G508</f>
        <v>167.17</v>
      </c>
      <c r="K508" s="123" t="s">
        <v>601</v>
      </c>
    </row>
    <row r="509" spans="3:11">
      <c r="C509" s="159"/>
      <c r="D509" s="204" t="s">
        <v>633</v>
      </c>
      <c r="E509" s="134">
        <v>1</v>
      </c>
      <c r="F509" s="134">
        <v>1</v>
      </c>
      <c r="G509" s="134">
        <v>72</v>
      </c>
      <c r="H509" s="280">
        <v>0.1</v>
      </c>
      <c r="I509" s="134"/>
      <c r="J509" s="134">
        <f>E509*F509*G509</f>
        <v>72</v>
      </c>
      <c r="K509" s="123"/>
    </row>
    <row r="510" spans="3:11">
      <c r="C510" s="159"/>
      <c r="D510" s="204" t="s">
        <v>634</v>
      </c>
      <c r="E510" s="134">
        <v>1</v>
      </c>
      <c r="F510" s="134">
        <v>1</v>
      </c>
      <c r="G510" s="134">
        <v>112.55</v>
      </c>
      <c r="H510" s="280">
        <v>0.1</v>
      </c>
      <c r="I510" s="134"/>
      <c r="J510" s="134">
        <f>E510*F510*G510</f>
        <v>112.55</v>
      </c>
      <c r="K510" s="122"/>
    </row>
    <row r="511" spans="3:11">
      <c r="C511" s="159"/>
      <c r="D511" s="204"/>
      <c r="E511" s="134"/>
      <c r="F511" s="134"/>
      <c r="G511" s="134"/>
      <c r="H511" s="134"/>
      <c r="I511" s="134"/>
      <c r="J511" s="134"/>
      <c r="K511" s="122"/>
    </row>
    <row r="512" spans="3:11" ht="27.6">
      <c r="C512" s="159"/>
      <c r="D512" s="245" t="str">
        <f>+CONCATENATE("TOTAL DE ",D503)</f>
        <v>TOTAL DE PINTURA DE TRAFICO EN DEMARCACION DE LOSA DEPORTIVA MULTIUSOS</v>
      </c>
      <c r="E512" s="270"/>
      <c r="F512" s="270"/>
      <c r="G512" s="270"/>
      <c r="H512" s="270"/>
      <c r="I512" s="270"/>
      <c r="J512" s="241">
        <f>+SUM(J505:J510)</f>
        <v>351.71999999999997</v>
      </c>
      <c r="K512" s="271" t="str">
        <f>+K508</f>
        <v>M</v>
      </c>
    </row>
    <row r="513" spans="3:11">
      <c r="C513" s="159"/>
      <c r="D513" s="208"/>
      <c r="E513" s="132"/>
      <c r="F513" s="132"/>
      <c r="G513" s="132"/>
      <c r="H513" s="132"/>
      <c r="I513" s="132"/>
      <c r="J513" s="132"/>
      <c r="K513" s="120"/>
    </row>
    <row r="514" spans="3:11">
      <c r="C514" s="157">
        <f>C384+1</f>
        <v>5</v>
      </c>
      <c r="D514" s="256" t="str">
        <f>RESUMEN!D72</f>
        <v>SARDINEL</v>
      </c>
      <c r="E514" s="132"/>
      <c r="F514" s="132"/>
      <c r="G514" s="132"/>
      <c r="H514" s="132"/>
      <c r="I514" s="132"/>
      <c r="J514" s="132"/>
      <c r="K514" s="120"/>
    </row>
    <row r="515" spans="3:11">
      <c r="C515" s="158">
        <f>C514+0.01</f>
        <v>5.01</v>
      </c>
      <c r="D515" s="257" t="str">
        <f>RESUMEN!D73</f>
        <v>TRABAJOS PRELIMINARES</v>
      </c>
      <c r="E515" s="132"/>
      <c r="F515" s="132"/>
      <c r="G515" s="132"/>
      <c r="H515" s="132"/>
      <c r="I515" s="132"/>
      <c r="J515" s="132"/>
      <c r="K515" s="120"/>
    </row>
    <row r="516" spans="3:11">
      <c r="C516" s="159">
        <f>+C515+0.0001</f>
        <v>5.0100999999999996</v>
      </c>
      <c r="D516" s="166" t="str">
        <f>RESUMEN!D74</f>
        <v>TRAZO Y REPLANTEO C/ EQUIPO</v>
      </c>
      <c r="E516" s="132"/>
      <c r="F516" s="132"/>
      <c r="G516" s="132"/>
      <c r="H516" s="132"/>
      <c r="I516" s="132"/>
      <c r="J516" s="132"/>
      <c r="K516" s="120"/>
    </row>
    <row r="517" spans="3:11" ht="14.4" thickBot="1">
      <c r="C517" s="159"/>
      <c r="D517" s="115" t="s">
        <v>19</v>
      </c>
      <c r="E517" s="115" t="s">
        <v>13</v>
      </c>
      <c r="F517" s="116" t="s">
        <v>4</v>
      </c>
      <c r="G517" s="116" t="s">
        <v>5</v>
      </c>
      <c r="H517" s="116" t="s">
        <v>6</v>
      </c>
      <c r="I517" s="116" t="s">
        <v>32</v>
      </c>
      <c r="J517" s="116" t="s">
        <v>7</v>
      </c>
      <c r="K517" s="115" t="s">
        <v>3</v>
      </c>
    </row>
    <row r="518" spans="3:11" ht="14.4" thickTop="1">
      <c r="C518" s="159"/>
      <c r="D518" s="312" t="s">
        <v>349</v>
      </c>
      <c r="E518" s="134"/>
      <c r="F518" s="134"/>
      <c r="G518" s="134"/>
      <c r="H518" s="134"/>
      <c r="I518" s="134"/>
      <c r="J518" s="134"/>
      <c r="K518" s="122"/>
    </row>
    <row r="519" spans="3:11">
      <c r="C519" s="159"/>
      <c r="D519" s="312"/>
      <c r="E519" s="134"/>
      <c r="F519" s="134"/>
      <c r="G519" s="134"/>
      <c r="H519" s="134"/>
      <c r="I519" s="134"/>
      <c r="J519" s="134"/>
      <c r="K519" s="129"/>
    </row>
    <row r="520" spans="3:11">
      <c r="C520" s="159"/>
      <c r="D520" s="184" t="s">
        <v>368</v>
      </c>
      <c r="E520" s="134"/>
      <c r="F520" s="134"/>
      <c r="G520" s="134"/>
      <c r="H520" s="134"/>
      <c r="I520" s="134"/>
      <c r="J520" s="134"/>
      <c r="K520" s="123" t="s">
        <v>10</v>
      </c>
    </row>
    <row r="521" spans="3:11">
      <c r="C521" s="159"/>
      <c r="D521" s="164"/>
      <c r="E521" s="134"/>
      <c r="F521" s="134"/>
      <c r="G521" s="134"/>
      <c r="H521" s="134"/>
      <c r="I521" s="134"/>
      <c r="J521" s="134"/>
      <c r="K521" s="123"/>
    </row>
    <row r="522" spans="3:11">
      <c r="C522" s="159"/>
      <c r="D522" s="197" t="s">
        <v>369</v>
      </c>
      <c r="E522" s="134">
        <v>1</v>
      </c>
      <c r="F522" s="134">
        <v>1</v>
      </c>
      <c r="G522" s="134" t="s">
        <v>59</v>
      </c>
      <c r="H522" s="134">
        <v>1.0117</v>
      </c>
      <c r="I522" s="134"/>
      <c r="J522" s="134">
        <f>PRODUCT(E522:H522)</f>
        <v>1.0117</v>
      </c>
      <c r="K522" s="123"/>
    </row>
    <row r="523" spans="3:11">
      <c r="C523" s="159"/>
      <c r="D523" s="197" t="s">
        <v>370</v>
      </c>
      <c r="E523" s="134">
        <v>1</v>
      </c>
      <c r="F523" s="134">
        <v>1</v>
      </c>
      <c r="G523" s="134" t="s">
        <v>59</v>
      </c>
      <c r="H523" s="134">
        <v>2.0720999999999998</v>
      </c>
      <c r="I523" s="134"/>
      <c r="J523" s="134">
        <f t="shared" ref="J523:J525" si="14">PRODUCT(E523:H523)</f>
        <v>2.0720999999999998</v>
      </c>
      <c r="K523" s="122"/>
    </row>
    <row r="524" spans="3:11">
      <c r="C524" s="159"/>
      <c r="D524" s="197" t="s">
        <v>371</v>
      </c>
      <c r="E524" s="134">
        <v>1</v>
      </c>
      <c r="F524" s="134">
        <v>8</v>
      </c>
      <c r="G524" s="134" t="s">
        <v>59</v>
      </c>
      <c r="H524" s="134">
        <v>0.35339999999999999</v>
      </c>
      <c r="I524" s="134"/>
      <c r="J524" s="134">
        <f t="shared" si="14"/>
        <v>2.8271999999999999</v>
      </c>
      <c r="K524" s="122"/>
    </row>
    <row r="525" spans="3:11">
      <c r="C525" s="159"/>
      <c r="D525" s="197" t="s">
        <v>372</v>
      </c>
      <c r="E525" s="134">
        <v>1</v>
      </c>
      <c r="F525" s="134">
        <v>4</v>
      </c>
      <c r="G525" s="134" t="s">
        <v>59</v>
      </c>
      <c r="H525" s="134">
        <v>0.82489999999999997</v>
      </c>
      <c r="I525" s="134"/>
      <c r="J525" s="134">
        <f t="shared" si="14"/>
        <v>3.2995999999999999</v>
      </c>
      <c r="K525" s="122"/>
    </row>
    <row r="526" spans="3:11">
      <c r="C526" s="159"/>
      <c r="D526" s="121"/>
      <c r="E526" s="134"/>
      <c r="F526" s="134"/>
      <c r="G526" s="134"/>
      <c r="H526" s="134"/>
      <c r="I526" s="134"/>
      <c r="J526" s="134"/>
      <c r="K526" s="121"/>
    </row>
    <row r="527" spans="3:11">
      <c r="C527" s="159"/>
      <c r="D527" s="245" t="str">
        <f>+CONCATENATE("TOTAL DE ",D516)</f>
        <v>TOTAL DE TRAZO Y REPLANTEO C/ EQUIPO</v>
      </c>
      <c r="E527" s="270"/>
      <c r="F527" s="270"/>
      <c r="G527" s="270"/>
      <c r="H527" s="270"/>
      <c r="I527" s="270"/>
      <c r="J527" s="241">
        <f>+SUM(J518:J526)</f>
        <v>9.2105999999999995</v>
      </c>
      <c r="K527" s="271" t="str">
        <f>+K520</f>
        <v>M2</v>
      </c>
    </row>
    <row r="528" spans="3:11">
      <c r="C528" s="157"/>
      <c r="E528" s="132"/>
      <c r="F528" s="132"/>
      <c r="G528" s="132"/>
      <c r="H528" s="132"/>
      <c r="I528" s="132"/>
      <c r="J528" s="132"/>
      <c r="K528" s="120"/>
    </row>
    <row r="529" spans="3:11">
      <c r="C529" s="159">
        <f>+C516+0.0001</f>
        <v>5.0101999999999993</v>
      </c>
      <c r="D529" s="166" t="str">
        <f>RESUMEN!D75</f>
        <v>DEMOLICION DE SARDINEL PERALTADO EXISTENTE C/ EQUIPO e=0.30 m</v>
      </c>
      <c r="E529" s="132"/>
      <c r="F529" s="132"/>
      <c r="G529" s="132"/>
      <c r="H529" s="132"/>
      <c r="I529" s="132"/>
      <c r="J529" s="132"/>
      <c r="K529" s="120"/>
    </row>
    <row r="530" spans="3:11" ht="14.4" thickBot="1">
      <c r="C530" s="159"/>
      <c r="D530" s="115" t="s">
        <v>19</v>
      </c>
      <c r="E530" s="115" t="s">
        <v>13</v>
      </c>
      <c r="F530" s="116" t="s">
        <v>4</v>
      </c>
      <c r="G530" s="116" t="s">
        <v>5</v>
      </c>
      <c r="H530" s="116" t="s">
        <v>6</v>
      </c>
      <c r="I530" s="116" t="s">
        <v>32</v>
      </c>
      <c r="J530" s="116" t="s">
        <v>7</v>
      </c>
      <c r="K530" s="115" t="s">
        <v>3</v>
      </c>
    </row>
    <row r="531" spans="3:11" ht="14.4" thickTop="1">
      <c r="C531" s="159"/>
      <c r="D531" s="312" t="s">
        <v>349</v>
      </c>
      <c r="E531" s="134"/>
      <c r="F531" s="134"/>
      <c r="G531" s="134"/>
      <c r="H531" s="134"/>
      <c r="I531" s="134"/>
      <c r="J531" s="134"/>
      <c r="K531" s="122"/>
    </row>
    <row r="532" spans="3:11">
      <c r="C532" s="159"/>
      <c r="D532" s="312"/>
      <c r="E532" s="134"/>
      <c r="F532" s="134"/>
      <c r="G532" s="134"/>
      <c r="H532" s="134"/>
      <c r="I532" s="134"/>
      <c r="J532" s="134"/>
      <c r="K532" s="129"/>
    </row>
    <row r="533" spans="3:11">
      <c r="C533" s="159"/>
      <c r="D533" s="184" t="s">
        <v>368</v>
      </c>
      <c r="E533" s="134"/>
      <c r="F533" s="134"/>
      <c r="G533" s="134"/>
      <c r="H533" s="134"/>
      <c r="I533" s="134"/>
      <c r="J533" s="134"/>
      <c r="K533" s="123" t="s">
        <v>10</v>
      </c>
    </row>
    <row r="534" spans="3:11">
      <c r="C534" s="159"/>
      <c r="D534" s="164"/>
      <c r="E534" s="134"/>
      <c r="F534" s="134"/>
      <c r="G534" s="134"/>
      <c r="H534" s="134"/>
      <c r="I534" s="134"/>
      <c r="J534" s="134"/>
      <c r="K534" s="123"/>
    </row>
    <row r="535" spans="3:11">
      <c r="C535" s="159"/>
      <c r="D535" s="197" t="s">
        <v>491</v>
      </c>
      <c r="E535" s="134">
        <v>1</v>
      </c>
      <c r="F535" s="134">
        <v>1</v>
      </c>
      <c r="G535" s="134" t="s">
        <v>59</v>
      </c>
      <c r="H535" s="134">
        <f>8.616+2.2772</f>
        <v>10.8932</v>
      </c>
      <c r="I535" s="134"/>
      <c r="J535" s="134">
        <f>PRODUCT(F535:I535)</f>
        <v>10.8932</v>
      </c>
      <c r="K535" s="123"/>
    </row>
    <row r="536" spans="3:11">
      <c r="C536" s="159"/>
      <c r="D536" s="121"/>
      <c r="E536" s="134"/>
      <c r="F536" s="134"/>
      <c r="G536" s="134"/>
      <c r="H536" s="134"/>
      <c r="I536" s="134"/>
      <c r="J536" s="134"/>
      <c r="K536" s="121"/>
    </row>
    <row r="537" spans="3:11" ht="27.6">
      <c r="C537" s="159"/>
      <c r="D537" s="245" t="str">
        <f>+CONCATENATE("TOTAL DE ",D529)</f>
        <v>TOTAL DE DEMOLICION DE SARDINEL PERALTADO EXISTENTE C/ EQUIPO e=0.30 m</v>
      </c>
      <c r="E537" s="270"/>
      <c r="F537" s="270"/>
      <c r="G537" s="270"/>
      <c r="H537" s="270"/>
      <c r="I537" s="270"/>
      <c r="J537" s="241">
        <f>+SUM(J531:J536)</f>
        <v>10.8932</v>
      </c>
      <c r="K537" s="271" t="str">
        <f>+K533</f>
        <v>M2</v>
      </c>
    </row>
    <row r="538" spans="3:11">
      <c r="C538" s="157"/>
      <c r="E538" s="132"/>
      <c r="F538" s="132"/>
      <c r="G538" s="132"/>
      <c r="H538" s="132"/>
      <c r="I538" s="132"/>
      <c r="J538" s="132"/>
      <c r="K538" s="120"/>
    </row>
    <row r="539" spans="3:11">
      <c r="C539" s="159">
        <f>C529+0.0001</f>
        <v>5.0102999999999991</v>
      </c>
      <c r="D539" s="258" t="str">
        <f>VLOOKUP(C539,RESUMEN!C:F,2,FALSE)</f>
        <v>ELIMINACIÓN DE EXCEDENTES C/ VOLQUETE 15M3 D=25KM</v>
      </c>
      <c r="E539" s="132"/>
      <c r="F539" s="132"/>
      <c r="G539" s="132"/>
      <c r="H539" s="132"/>
      <c r="I539" s="132"/>
      <c r="J539" s="132"/>
      <c r="K539" s="120"/>
    </row>
    <row r="540" spans="3:11" ht="14.4" thickBot="1">
      <c r="C540" s="199"/>
      <c r="D540" s="115" t="s">
        <v>19</v>
      </c>
      <c r="E540" s="115" t="s">
        <v>13</v>
      </c>
      <c r="F540" s="116" t="s">
        <v>4</v>
      </c>
      <c r="G540" s="116" t="s">
        <v>5</v>
      </c>
      <c r="H540" s="116" t="s">
        <v>6</v>
      </c>
      <c r="I540" s="116" t="s">
        <v>32</v>
      </c>
      <c r="J540" s="116" t="s">
        <v>7</v>
      </c>
      <c r="K540" s="115" t="s">
        <v>3</v>
      </c>
    </row>
    <row r="541" spans="3:11" ht="14.4" thickTop="1">
      <c r="C541" s="199"/>
      <c r="D541" s="198" t="s">
        <v>492</v>
      </c>
      <c r="E541" s="134"/>
      <c r="F541" s="134"/>
      <c r="G541" s="134"/>
      <c r="H541" s="134"/>
      <c r="I541" s="134"/>
      <c r="J541" s="134"/>
      <c r="K541" s="122"/>
    </row>
    <row r="542" spans="3:11">
      <c r="C542" s="199"/>
      <c r="D542" s="198"/>
      <c r="E542" s="134"/>
      <c r="F542" s="134"/>
      <c r="G542" s="134"/>
      <c r="H542" s="134"/>
      <c r="I542" s="134"/>
      <c r="J542" s="134"/>
      <c r="K542" s="129"/>
    </row>
    <row r="543" spans="3:11">
      <c r="C543" s="199"/>
      <c r="D543" s="230" t="s">
        <v>557</v>
      </c>
      <c r="E543" s="134">
        <v>1.25</v>
      </c>
      <c r="F543" s="134">
        <v>1</v>
      </c>
      <c r="G543" s="134" t="s">
        <v>59</v>
      </c>
      <c r="H543" s="134">
        <v>10.89</v>
      </c>
      <c r="I543" s="134">
        <v>0.3</v>
      </c>
      <c r="J543" s="134">
        <f>I543*H543*E543*F543</f>
        <v>4.0837500000000002</v>
      </c>
      <c r="K543" s="123" t="s">
        <v>12</v>
      </c>
    </row>
    <row r="544" spans="3:11">
      <c r="C544" s="199"/>
      <c r="D544" s="130"/>
      <c r="E544" s="134"/>
      <c r="F544" s="134"/>
      <c r="G544" s="134"/>
      <c r="H544" s="134"/>
      <c r="I544" s="134"/>
      <c r="J544" s="134"/>
      <c r="K544" s="123"/>
    </row>
    <row r="545" spans="3:11">
      <c r="C545" s="199"/>
      <c r="D545" s="245" t="str">
        <f>+CONCATENATE("TOTAL DE ",D539)</f>
        <v>TOTAL DE ELIMINACIÓN DE EXCEDENTES C/ VOLQUETE 15M3 D=25KM</v>
      </c>
      <c r="E545" s="270"/>
      <c r="F545" s="270"/>
      <c r="G545" s="270"/>
      <c r="H545" s="270"/>
      <c r="I545" s="270"/>
      <c r="J545" s="241">
        <f>+J543</f>
        <v>4.0837500000000002</v>
      </c>
      <c r="K545" s="271" t="str">
        <f>+K543</f>
        <v>M3</v>
      </c>
    </row>
    <row r="546" spans="3:11">
      <c r="C546" s="199"/>
      <c r="E546" s="132"/>
      <c r="F546" s="132"/>
      <c r="G546" s="132"/>
      <c r="H546" s="132"/>
      <c r="I546" s="132"/>
      <c r="J546" s="132"/>
      <c r="K546" s="120"/>
    </row>
    <row r="547" spans="3:11">
      <c r="C547" s="158">
        <f>+C515+0.01</f>
        <v>5.0199999999999996</v>
      </c>
      <c r="D547" s="257" t="str">
        <f>RESUMEN!D77</f>
        <v>MOVIMIENTO DE TIERRAS</v>
      </c>
      <c r="E547" s="132"/>
      <c r="F547" s="132"/>
      <c r="G547" s="132"/>
      <c r="H547" s="132"/>
      <c r="I547" s="132"/>
      <c r="J547" s="132"/>
      <c r="K547" s="113"/>
    </row>
    <row r="548" spans="3:11">
      <c r="C548" s="159">
        <f>+C547+0.0001</f>
        <v>5.0200999999999993</v>
      </c>
      <c r="D548" s="258" t="str">
        <f>RESUMEN!D78</f>
        <v xml:space="preserve"> EXCAVACIÓN A MANO EN TERRENO NORMAL</v>
      </c>
      <c r="E548" s="132"/>
      <c r="F548" s="132"/>
      <c r="G548" s="132"/>
      <c r="H548" s="132"/>
      <c r="I548" s="132"/>
      <c r="J548" s="132"/>
      <c r="K548" s="120"/>
    </row>
    <row r="549" spans="3:11" ht="14.4" thickBot="1">
      <c r="C549" s="159"/>
      <c r="D549" s="115" t="s">
        <v>19</v>
      </c>
      <c r="E549" s="115" t="s">
        <v>13</v>
      </c>
      <c r="F549" s="116" t="s">
        <v>4</v>
      </c>
      <c r="G549" s="116" t="s">
        <v>5</v>
      </c>
      <c r="H549" s="116" t="s">
        <v>6</v>
      </c>
      <c r="I549" s="116" t="s">
        <v>32</v>
      </c>
      <c r="J549" s="116" t="s">
        <v>7</v>
      </c>
      <c r="K549" s="115" t="s">
        <v>3</v>
      </c>
    </row>
    <row r="550" spans="3:11" ht="14.4" thickTop="1">
      <c r="C550" s="159"/>
      <c r="D550" s="121"/>
      <c r="E550" s="134"/>
      <c r="F550" s="134"/>
      <c r="G550" s="134"/>
      <c r="H550" s="134"/>
      <c r="I550" s="134"/>
      <c r="J550" s="134"/>
      <c r="K550" s="122"/>
    </row>
    <row r="551" spans="3:11">
      <c r="C551" s="159"/>
      <c r="D551" s="311" t="s">
        <v>637</v>
      </c>
      <c r="E551" s="134"/>
      <c r="F551" s="134"/>
      <c r="G551" s="134"/>
      <c r="H551" s="134"/>
      <c r="I551" s="134"/>
      <c r="J551" s="134"/>
      <c r="K551" s="122"/>
    </row>
    <row r="552" spans="3:11">
      <c r="C552" s="159"/>
      <c r="D552" s="311"/>
      <c r="E552" s="134"/>
      <c r="F552" s="134"/>
      <c r="G552" s="134"/>
      <c r="H552" s="134"/>
      <c r="I552" s="134"/>
      <c r="J552" s="134"/>
      <c r="K552" s="129"/>
    </row>
    <row r="553" spans="3:11" ht="7.8" customHeight="1">
      <c r="C553" s="159"/>
      <c r="D553" s="131"/>
      <c r="E553" s="134"/>
      <c r="F553" s="134"/>
      <c r="G553" s="134"/>
      <c r="H553" s="134"/>
      <c r="I553" s="134"/>
      <c r="J553" s="134"/>
      <c r="K553" s="129"/>
    </row>
    <row r="554" spans="3:11">
      <c r="C554" s="159"/>
      <c r="D554" s="184" t="str">
        <f>D520</f>
        <v>SARDINELES</v>
      </c>
      <c r="E554" s="134"/>
      <c r="F554" s="134"/>
      <c r="G554" s="134"/>
      <c r="H554" s="134"/>
      <c r="I554" s="134"/>
      <c r="J554" s="134"/>
      <c r="K554" s="123" t="s">
        <v>12</v>
      </c>
    </row>
    <row r="555" spans="3:11" ht="7.8" customHeight="1">
      <c r="C555" s="159"/>
      <c r="D555" s="133"/>
      <c r="E555" s="134"/>
      <c r="F555" s="134"/>
      <c r="G555" s="134"/>
      <c r="H555" s="134"/>
      <c r="I555" s="134"/>
      <c r="J555" s="134"/>
      <c r="K555" s="123"/>
    </row>
    <row r="556" spans="3:11">
      <c r="C556" s="159"/>
      <c r="D556" s="197" t="str">
        <f>D522</f>
        <v>SARDINEL PARA AREA DE CALISTENIA</v>
      </c>
      <c r="E556" s="134">
        <v>1</v>
      </c>
      <c r="F556" s="134">
        <v>1</v>
      </c>
      <c r="G556" s="134" t="s">
        <v>59</v>
      </c>
      <c r="H556" s="134">
        <f>H522</f>
        <v>1.0117</v>
      </c>
      <c r="I556" s="267">
        <v>0.15</v>
      </c>
      <c r="J556" s="134">
        <f>+PRODUCT(E556:I556)</f>
        <v>0.151755</v>
      </c>
      <c r="K556" s="123"/>
    </row>
    <row r="557" spans="3:11">
      <c r="C557" s="159"/>
      <c r="D557" s="197" t="str">
        <f>D523</f>
        <v>SARDINEL PARA VEREDA DE ADOQUIN</v>
      </c>
      <c r="E557" s="134">
        <v>1</v>
      </c>
      <c r="F557" s="134">
        <v>1</v>
      </c>
      <c r="G557" s="134" t="s">
        <v>59</v>
      </c>
      <c r="H557" s="134">
        <f>H523</f>
        <v>2.0720999999999998</v>
      </c>
      <c r="I557" s="267">
        <v>0.15</v>
      </c>
      <c r="J557" s="134">
        <f t="shared" ref="J557:J559" si="15">+PRODUCT(E557:I557)</f>
        <v>0.31081499999999995</v>
      </c>
      <c r="K557" s="123"/>
    </row>
    <row r="558" spans="3:11">
      <c r="C558" s="159"/>
      <c r="D558" s="197" t="str">
        <f>D524</f>
        <v>SARDINEL PARA JARDIN CIRCULAR</v>
      </c>
      <c r="E558" s="134">
        <v>1</v>
      </c>
      <c r="F558" s="134">
        <v>8</v>
      </c>
      <c r="G558" s="134" t="s">
        <v>59</v>
      </c>
      <c r="H558" s="134">
        <f>H524</f>
        <v>0.35339999999999999</v>
      </c>
      <c r="I558" s="267">
        <v>0.15</v>
      </c>
      <c r="J558" s="134">
        <f t="shared" si="15"/>
        <v>0.42407999999999996</v>
      </c>
      <c r="K558" s="123"/>
    </row>
    <row r="559" spans="3:11">
      <c r="C559" s="159"/>
      <c r="D559" s="197" t="str">
        <f>D525</f>
        <v>SARDINEL PARA JARDIN CUADRADO</v>
      </c>
      <c r="E559" s="134">
        <v>1</v>
      </c>
      <c r="F559" s="134">
        <v>4</v>
      </c>
      <c r="G559" s="134" t="s">
        <v>59</v>
      </c>
      <c r="H559" s="134">
        <f>H525</f>
        <v>0.82489999999999997</v>
      </c>
      <c r="I559" s="267">
        <v>0.15</v>
      </c>
      <c r="J559" s="134">
        <f t="shared" si="15"/>
        <v>0.49493999999999994</v>
      </c>
      <c r="K559" s="123"/>
    </row>
    <row r="560" spans="3:11">
      <c r="C560" s="159"/>
      <c r="D560" s="133"/>
      <c r="E560" s="134"/>
      <c r="F560" s="134"/>
      <c r="G560" s="134"/>
      <c r="H560" s="134"/>
      <c r="I560" s="134"/>
      <c r="J560" s="134"/>
      <c r="K560" s="122"/>
    </row>
    <row r="561" spans="3:11">
      <c r="C561" s="159"/>
      <c r="D561" s="290" t="str">
        <f>+CONCATENATE("TOTAL DE ",D548)</f>
        <v>TOTAL DE  EXCAVACIÓN A MANO EN TERRENO NORMAL</v>
      </c>
      <c r="E561" s="270"/>
      <c r="F561" s="270"/>
      <c r="G561" s="270"/>
      <c r="H561" s="270"/>
      <c r="I561" s="270"/>
      <c r="J561" s="291">
        <f>+SUM(J550:J560)</f>
        <v>1.3815899999999999</v>
      </c>
      <c r="K561" s="271" t="str">
        <f>+K554</f>
        <v>M3</v>
      </c>
    </row>
    <row r="562" spans="3:11">
      <c r="C562" s="159"/>
      <c r="E562" s="132"/>
      <c r="F562" s="132"/>
      <c r="G562" s="132"/>
      <c r="H562" s="132"/>
      <c r="I562" s="132"/>
      <c r="J562" s="132"/>
      <c r="K562" s="120"/>
    </row>
    <row r="563" spans="3:11">
      <c r="C563" s="159">
        <f>C548+0.0001</f>
        <v>5.0201999999999991</v>
      </c>
      <c r="D563" s="258" t="str">
        <f>RESUMEN!D79</f>
        <v>ELIMINACIÓN DE MATERIAL  EXCEDENTES C/VOLQUETE 15M3 D= 25KM</v>
      </c>
      <c r="E563" s="132"/>
      <c r="F563" s="132"/>
      <c r="G563" s="132"/>
      <c r="H563" s="132"/>
      <c r="I563" s="132"/>
      <c r="J563" s="132"/>
      <c r="K563" s="120"/>
    </row>
    <row r="564" spans="3:11" ht="14.4" thickBot="1">
      <c r="C564" s="159"/>
      <c r="D564" s="115" t="s">
        <v>19</v>
      </c>
      <c r="E564" s="115" t="s">
        <v>13</v>
      </c>
      <c r="F564" s="116" t="s">
        <v>4</v>
      </c>
      <c r="G564" s="116" t="s">
        <v>5</v>
      </c>
      <c r="H564" s="116" t="s">
        <v>6</v>
      </c>
      <c r="I564" s="116" t="s">
        <v>11</v>
      </c>
      <c r="J564" s="116" t="s">
        <v>7</v>
      </c>
      <c r="K564" s="115" t="s">
        <v>3</v>
      </c>
    </row>
    <row r="565" spans="3:11" ht="14.4" thickTop="1">
      <c r="C565" s="159"/>
      <c r="D565" s="312" t="s">
        <v>354</v>
      </c>
      <c r="E565" s="134"/>
      <c r="F565" s="134"/>
      <c r="G565" s="134"/>
      <c r="H565" s="134"/>
      <c r="I565" s="134"/>
      <c r="J565" s="134"/>
      <c r="K565" s="122"/>
    </row>
    <row r="566" spans="3:11">
      <c r="C566" s="159"/>
      <c r="D566" s="312"/>
      <c r="E566" s="134"/>
      <c r="F566" s="134"/>
      <c r="G566" s="134"/>
      <c r="H566" s="134"/>
      <c r="I566" s="134"/>
      <c r="J566" s="134"/>
      <c r="K566" s="129"/>
    </row>
    <row r="567" spans="3:11">
      <c r="C567" s="159"/>
      <c r="D567" s="312"/>
      <c r="E567" s="134"/>
      <c r="F567" s="134"/>
      <c r="G567" s="134"/>
      <c r="H567" s="134"/>
      <c r="I567" s="134"/>
      <c r="J567" s="148"/>
      <c r="K567" s="122"/>
    </row>
    <row r="568" spans="3:11">
      <c r="C568" s="159"/>
      <c r="D568" s="231" t="s">
        <v>558</v>
      </c>
      <c r="E568" s="134">
        <v>1.25</v>
      </c>
      <c r="F568" s="134">
        <v>1</v>
      </c>
      <c r="G568" s="134" t="s">
        <v>15</v>
      </c>
      <c r="H568" s="134">
        <f>+J561</f>
        <v>1.3815899999999999</v>
      </c>
      <c r="I568" s="134"/>
      <c r="J568" s="134">
        <f>E568*H568</f>
        <v>1.7269874999999999</v>
      </c>
      <c r="K568" s="123" t="s">
        <v>12</v>
      </c>
    </row>
    <row r="569" spans="3:11">
      <c r="C569" s="159"/>
      <c r="D569" s="131"/>
      <c r="E569" s="134"/>
      <c r="F569" s="134"/>
      <c r="G569" s="134"/>
      <c r="H569" s="134"/>
      <c r="I569" s="134"/>
      <c r="J569" s="134"/>
      <c r="K569" s="122"/>
    </row>
    <row r="570" spans="3:11" ht="27.6">
      <c r="C570" s="159"/>
      <c r="D570" s="289" t="str">
        <f>+CONCATENATE("TOTAL DE ",D563)</f>
        <v>TOTAL DE ELIMINACIÓN DE MATERIAL  EXCEDENTES C/VOLQUETE 15M3 D= 25KM</v>
      </c>
      <c r="E570" s="270"/>
      <c r="F570" s="270"/>
      <c r="G570" s="270"/>
      <c r="H570" s="270"/>
      <c r="I570" s="270"/>
      <c r="J570" s="291">
        <f>+SUM(J565:J569)</f>
        <v>1.7269874999999999</v>
      </c>
      <c r="K570" s="271" t="str">
        <f>+K568</f>
        <v>M3</v>
      </c>
    </row>
    <row r="571" spans="3:11">
      <c r="C571" s="159"/>
      <c r="E571" s="132"/>
      <c r="F571" s="132"/>
      <c r="G571" s="132"/>
      <c r="H571" s="132"/>
      <c r="I571" s="132"/>
      <c r="J571" s="132"/>
      <c r="K571" s="120"/>
    </row>
    <row r="572" spans="3:11">
      <c r="C572" s="158">
        <f>C547+0.01</f>
        <v>5.0299999999999994</v>
      </c>
      <c r="D572" s="257" t="str">
        <f>RESUMEN!D80</f>
        <v>CONCRETO ARMADO</v>
      </c>
      <c r="E572" s="132"/>
      <c r="F572" s="132"/>
      <c r="G572" s="132"/>
      <c r="H572" s="132"/>
      <c r="I572" s="132"/>
      <c r="J572" s="132"/>
      <c r="K572" s="113"/>
    </row>
    <row r="573" spans="3:11">
      <c r="C573" s="159">
        <f>+C572+0.0001</f>
        <v>5.0300999999999991</v>
      </c>
      <c r="D573" s="166" t="str">
        <f>RESUMEN!D81</f>
        <v>ENCOFRADO Y DESENCOFRADO PARA SARDINELES</v>
      </c>
      <c r="E573" s="132"/>
      <c r="F573" s="132"/>
      <c r="G573" s="132"/>
      <c r="H573" s="132"/>
      <c r="I573" s="132"/>
      <c r="J573" s="132"/>
      <c r="K573" s="120"/>
    </row>
    <row r="574" spans="3:11" ht="14.4" thickBot="1">
      <c r="C574" s="159"/>
      <c r="D574" s="115" t="s">
        <v>19</v>
      </c>
      <c r="E574" s="115" t="s">
        <v>13</v>
      </c>
      <c r="F574" s="116" t="s">
        <v>4</v>
      </c>
      <c r="G574" s="116" t="s">
        <v>5</v>
      </c>
      <c r="H574" s="116" t="s">
        <v>6</v>
      </c>
      <c r="I574" s="116" t="s">
        <v>11</v>
      </c>
      <c r="J574" s="116" t="s">
        <v>7</v>
      </c>
      <c r="K574" s="115" t="s">
        <v>3</v>
      </c>
    </row>
    <row r="575" spans="3:11" ht="14.4" thickTop="1">
      <c r="C575" s="159"/>
      <c r="D575" s="312" t="s">
        <v>300</v>
      </c>
      <c r="E575" s="134"/>
      <c r="F575" s="134"/>
      <c r="G575" s="134"/>
      <c r="H575" s="134"/>
      <c r="I575" s="134"/>
      <c r="J575" s="134"/>
      <c r="K575" s="122"/>
    </row>
    <row r="576" spans="3:11">
      <c r="C576" s="159"/>
      <c r="D576" s="312"/>
      <c r="E576" s="134"/>
      <c r="F576" s="134"/>
      <c r="G576" s="134"/>
      <c r="H576" s="134"/>
      <c r="I576" s="134"/>
      <c r="J576" s="134"/>
      <c r="K576" s="129"/>
    </row>
    <row r="577" spans="3:11">
      <c r="C577" s="159"/>
      <c r="D577" s="184" t="str">
        <f>D520</f>
        <v>SARDINELES</v>
      </c>
      <c r="E577" s="134"/>
      <c r="F577" s="134"/>
      <c r="G577" s="134"/>
      <c r="H577" s="134"/>
      <c r="I577" s="134"/>
      <c r="J577" s="134"/>
      <c r="K577" s="191" t="s">
        <v>10</v>
      </c>
    </row>
    <row r="578" spans="3:11">
      <c r="C578" s="159"/>
      <c r="D578" s="140"/>
      <c r="E578" s="134"/>
      <c r="F578" s="134"/>
      <c r="G578" s="134"/>
      <c r="H578" s="134"/>
      <c r="I578" s="134"/>
      <c r="J578" s="134"/>
      <c r="K578" s="122"/>
    </row>
    <row r="579" spans="3:11">
      <c r="C579" s="159"/>
      <c r="D579" s="130" t="str">
        <f>D522</f>
        <v>SARDINEL PARA AREA DE CALISTENIA</v>
      </c>
      <c r="E579" s="134">
        <v>2</v>
      </c>
      <c r="F579" s="134">
        <v>1</v>
      </c>
      <c r="G579" s="267">
        <v>6.7542</v>
      </c>
      <c r="H579" s="134"/>
      <c r="I579" s="267">
        <f>0.15+0.25</f>
        <v>0.4</v>
      </c>
      <c r="J579" s="134">
        <f>+PRODUCT(E579:I579)</f>
        <v>5.4033600000000002</v>
      </c>
      <c r="K579" s="123"/>
    </row>
    <row r="580" spans="3:11">
      <c r="C580" s="159"/>
      <c r="D580" s="130" t="str">
        <f>D557</f>
        <v>SARDINEL PARA VEREDA DE ADOQUIN</v>
      </c>
      <c r="E580" s="134">
        <v>2</v>
      </c>
      <c r="F580" s="134">
        <v>1</v>
      </c>
      <c r="G580" s="267">
        <f>((1.5+1.35)/2)+((5.6429+5.4929)/2)+((1.5+1.35)/2)+((5.63+5.4801)/2)</f>
        <v>13.972949999999999</v>
      </c>
      <c r="H580" s="134"/>
      <c r="I580" s="267">
        <f>0.09+0.25</f>
        <v>0.33999999999999997</v>
      </c>
      <c r="J580" s="134">
        <f t="shared" ref="J580:J581" si="16">+PRODUCT(E580:I580)</f>
        <v>9.5016059999999989</v>
      </c>
      <c r="K580" s="123"/>
    </row>
    <row r="581" spans="3:11">
      <c r="C581" s="159"/>
      <c r="D581" s="130" t="str">
        <f>D524</f>
        <v>SARDINEL PARA JARDIN CIRCULAR</v>
      </c>
      <c r="E581" s="134">
        <v>2</v>
      </c>
      <c r="F581" s="134">
        <f>F558</f>
        <v>8</v>
      </c>
      <c r="G581" s="267">
        <f>(2.8274+2.1991)/2</f>
        <v>2.5132500000000002</v>
      </c>
      <c r="H581" s="134"/>
      <c r="I581" s="267">
        <f>0.35+0.35</f>
        <v>0.7</v>
      </c>
      <c r="J581" s="134">
        <f t="shared" si="16"/>
        <v>28.148399999999999</v>
      </c>
      <c r="K581" s="123"/>
    </row>
    <row r="582" spans="3:11">
      <c r="C582" s="159"/>
      <c r="D582" s="130" t="str">
        <f>D559</f>
        <v>SARDINEL PARA JARDIN CUADRADO</v>
      </c>
      <c r="E582" s="134">
        <v>2</v>
      </c>
      <c r="F582" s="134">
        <f>F525</f>
        <v>4</v>
      </c>
      <c r="G582" s="267">
        <f>(6+4.82)/2</f>
        <v>5.41</v>
      </c>
      <c r="H582" s="134"/>
      <c r="I582" s="267">
        <v>0.7</v>
      </c>
      <c r="J582" s="134">
        <f>+PRODUCT(E582:I582)</f>
        <v>30.295999999999999</v>
      </c>
      <c r="K582" s="123"/>
    </row>
    <row r="583" spans="3:11">
      <c r="C583" s="159"/>
      <c r="D583" s="131"/>
      <c r="E583" s="134"/>
      <c r="F583" s="134"/>
      <c r="G583" s="134"/>
      <c r="H583" s="134"/>
      <c r="I583" s="134"/>
      <c r="J583" s="134"/>
      <c r="K583" s="122"/>
    </row>
    <row r="584" spans="3:11">
      <c r="C584" s="159"/>
      <c r="D584" s="245" t="str">
        <f>+CONCATENATE("TOTAL DE ",D573)</f>
        <v>TOTAL DE ENCOFRADO Y DESENCOFRADO PARA SARDINELES</v>
      </c>
      <c r="E584" s="270"/>
      <c r="F584" s="270"/>
      <c r="G584" s="270"/>
      <c r="H584" s="270"/>
      <c r="I584" s="270"/>
      <c r="J584" s="291">
        <f>+SUM(J575:J583)</f>
        <v>73.349366000000003</v>
      </c>
      <c r="K584" s="271" t="str">
        <f>+K577</f>
        <v>M2</v>
      </c>
    </row>
    <row r="585" spans="3:11">
      <c r="C585" s="159"/>
      <c r="E585" s="132"/>
      <c r="F585" s="132"/>
      <c r="G585" s="132"/>
      <c r="H585" s="132"/>
      <c r="I585" s="132"/>
      <c r="J585" s="132"/>
      <c r="K585" s="120"/>
    </row>
    <row r="586" spans="3:11">
      <c r="C586" s="159">
        <f>C573+0.0001</f>
        <v>5.0301999999999989</v>
      </c>
      <c r="D586" s="258" t="str">
        <f>RESUMEN!D82</f>
        <v>CONCRETO  f'c= 175 kg/cm2  PARA SARDINELES PERALTADO H=0.30M, B=0.15 , INC. ACABADOS SEGÚN DETALLE</v>
      </c>
      <c r="E586" s="132"/>
      <c r="F586" s="132"/>
      <c r="G586" s="132"/>
      <c r="H586" s="132"/>
      <c r="I586" s="132"/>
      <c r="J586" s="132"/>
      <c r="K586" s="120"/>
    </row>
    <row r="587" spans="3:11" ht="15" customHeight="1" thickBot="1">
      <c r="C587" s="159"/>
      <c r="D587" s="118" t="s">
        <v>19</v>
      </c>
      <c r="E587" s="115" t="s">
        <v>13</v>
      </c>
      <c r="F587" s="116" t="s">
        <v>4</v>
      </c>
      <c r="G587" s="116" t="s">
        <v>5</v>
      </c>
      <c r="H587" s="116" t="s">
        <v>6</v>
      </c>
      <c r="I587" s="116" t="s">
        <v>11</v>
      </c>
      <c r="J587" s="116" t="s">
        <v>7</v>
      </c>
      <c r="K587" s="115" t="s">
        <v>3</v>
      </c>
    </row>
    <row r="588" spans="3:11" ht="6.6" customHeight="1" thickTop="1">
      <c r="C588" s="159"/>
      <c r="D588" s="142"/>
      <c r="E588" s="134"/>
      <c r="F588" s="134"/>
      <c r="G588" s="134"/>
      <c r="H588" s="134"/>
      <c r="I588" s="134"/>
      <c r="J588" s="134"/>
      <c r="K588" s="122"/>
    </row>
    <row r="589" spans="3:11">
      <c r="C589" s="159"/>
      <c r="D589" s="312" t="s">
        <v>373</v>
      </c>
      <c r="E589" s="134"/>
      <c r="F589" s="134"/>
      <c r="G589" s="134"/>
      <c r="H589" s="134"/>
      <c r="I589" s="134"/>
      <c r="J589" s="134"/>
      <c r="K589" s="122"/>
    </row>
    <row r="590" spans="3:11">
      <c r="C590" s="159"/>
      <c r="D590" s="312"/>
      <c r="E590" s="134"/>
      <c r="F590" s="134"/>
      <c r="G590" s="134"/>
      <c r="H590" s="134"/>
      <c r="I590" s="134"/>
      <c r="J590" s="134"/>
      <c r="K590" s="129"/>
    </row>
    <row r="591" spans="3:11">
      <c r="C591" s="159"/>
      <c r="D591" s="312"/>
      <c r="E591" s="134"/>
      <c r="F591" s="134"/>
      <c r="G591" s="134"/>
      <c r="H591" s="134"/>
      <c r="I591" s="134"/>
      <c r="J591" s="134"/>
      <c r="K591" s="122"/>
    </row>
    <row r="592" spans="3:11">
      <c r="C592" s="159"/>
      <c r="D592" s="183" t="s">
        <v>368</v>
      </c>
      <c r="E592" s="134"/>
      <c r="F592" s="134"/>
      <c r="G592" s="134"/>
      <c r="H592" s="134"/>
      <c r="I592" s="134"/>
      <c r="J592" s="134"/>
      <c r="K592" s="121"/>
    </row>
    <row r="593" spans="3:11">
      <c r="C593" s="159"/>
      <c r="D593" s="183"/>
      <c r="E593" s="134"/>
      <c r="F593" s="134"/>
      <c r="G593" s="134"/>
      <c r="H593" s="134"/>
      <c r="I593" s="134"/>
      <c r="J593" s="134"/>
      <c r="K593" s="121"/>
    </row>
    <row r="594" spans="3:11">
      <c r="C594" s="159"/>
      <c r="D594" s="183" t="str">
        <f>D522</f>
        <v>SARDINEL PARA AREA DE CALISTENIA</v>
      </c>
      <c r="E594" s="134"/>
      <c r="F594" s="134"/>
      <c r="G594" s="134"/>
      <c r="H594" s="134"/>
      <c r="I594" s="134"/>
      <c r="J594" s="134"/>
      <c r="K594" s="134" t="s">
        <v>12</v>
      </c>
    </row>
    <row r="595" spans="3:11">
      <c r="C595" s="159"/>
      <c r="D595" s="130" t="s">
        <v>374</v>
      </c>
      <c r="E595" s="134">
        <v>1</v>
      </c>
      <c r="F595" s="132">
        <v>1</v>
      </c>
      <c r="G595" s="134">
        <f>G579</f>
        <v>6.7542</v>
      </c>
      <c r="H595" s="132">
        <v>0.15</v>
      </c>
      <c r="I595" s="134">
        <v>0.3</v>
      </c>
      <c r="J595" s="134">
        <f>G595*E595*I595*F595*H595</f>
        <v>0.30393899999999996</v>
      </c>
      <c r="K595" s="123"/>
    </row>
    <row r="596" spans="3:11">
      <c r="C596" s="159"/>
      <c r="D596" s="183"/>
      <c r="E596" s="134"/>
      <c r="F596" s="132"/>
      <c r="G596" s="134"/>
      <c r="H596" s="132"/>
      <c r="I596" s="151"/>
      <c r="J596" s="134"/>
      <c r="K596" s="123"/>
    </row>
    <row r="597" spans="3:11">
      <c r="C597" s="159"/>
      <c r="D597" s="183" t="str">
        <f>D557</f>
        <v>SARDINEL PARA VEREDA DE ADOQUIN</v>
      </c>
      <c r="E597" s="134"/>
      <c r="F597" s="132"/>
      <c r="G597" s="134"/>
      <c r="H597" s="132"/>
      <c r="I597" s="151"/>
      <c r="J597" s="134"/>
      <c r="K597" s="123"/>
    </row>
    <row r="598" spans="3:11">
      <c r="C598" s="159"/>
      <c r="D598" s="130" t="s">
        <v>374</v>
      </c>
      <c r="E598" s="134">
        <v>1</v>
      </c>
      <c r="F598" s="132">
        <v>1</v>
      </c>
      <c r="G598" s="134">
        <f>G580</f>
        <v>13.972949999999999</v>
      </c>
      <c r="H598" s="132">
        <v>0.15</v>
      </c>
      <c r="I598" s="134">
        <v>0.3</v>
      </c>
      <c r="J598" s="134">
        <f>G598*E598*I598*F598*H598</f>
        <v>0.62878274999999983</v>
      </c>
      <c r="K598" s="123"/>
    </row>
    <row r="599" spans="3:11">
      <c r="C599" s="159"/>
      <c r="D599" s="183"/>
      <c r="E599" s="134"/>
      <c r="F599" s="132"/>
      <c r="G599" s="134"/>
      <c r="H599" s="132"/>
      <c r="I599" s="151"/>
      <c r="J599" s="134"/>
      <c r="K599" s="123"/>
    </row>
    <row r="600" spans="3:11">
      <c r="C600" s="159"/>
      <c r="D600" s="183" t="str">
        <f>D524</f>
        <v>SARDINEL PARA JARDIN CIRCULAR</v>
      </c>
      <c r="E600" s="132"/>
      <c r="F600" s="134"/>
      <c r="G600" s="132"/>
      <c r="H600" s="134"/>
      <c r="I600" s="134"/>
      <c r="J600" s="134"/>
      <c r="K600" s="123"/>
    </row>
    <row r="601" spans="3:11">
      <c r="C601" s="159"/>
      <c r="D601" s="130" t="s">
        <v>374</v>
      </c>
      <c r="E601" s="134">
        <v>1</v>
      </c>
      <c r="F601" s="132">
        <v>4</v>
      </c>
      <c r="G601" s="134">
        <f>G581</f>
        <v>2.5132500000000002</v>
      </c>
      <c r="H601" s="132">
        <v>0.15</v>
      </c>
      <c r="I601" s="134">
        <v>0.5</v>
      </c>
      <c r="J601" s="134">
        <f t="shared" ref="J601:J604" si="17">G601*E601*I601*F601*H601</f>
        <v>0.75397500000000006</v>
      </c>
      <c r="K601" s="123"/>
    </row>
    <row r="602" spans="3:11">
      <c r="C602" s="159"/>
      <c r="D602" s="130"/>
      <c r="E602" s="114"/>
      <c r="F602" s="134"/>
      <c r="G602" s="114"/>
      <c r="H602" s="134"/>
      <c r="I602" s="134"/>
      <c r="J602" s="134"/>
      <c r="K602" s="123"/>
    </row>
    <row r="603" spans="3:11">
      <c r="C603" s="159"/>
      <c r="D603" s="183" t="str">
        <f>D559</f>
        <v>SARDINEL PARA JARDIN CUADRADO</v>
      </c>
      <c r="E603" s="114"/>
      <c r="F603" s="134"/>
      <c r="G603" s="114"/>
      <c r="H603" s="134"/>
      <c r="I603" s="151"/>
      <c r="J603" s="134"/>
      <c r="K603" s="123"/>
    </row>
    <row r="604" spans="3:11">
      <c r="C604" s="159"/>
      <c r="D604" s="130" t="s">
        <v>374</v>
      </c>
      <c r="E604" s="134">
        <v>1</v>
      </c>
      <c r="F604" s="132">
        <v>8</v>
      </c>
      <c r="G604" s="134">
        <f>G582</f>
        <v>5.41</v>
      </c>
      <c r="H604" s="132">
        <v>0.15</v>
      </c>
      <c r="I604" s="134">
        <v>0.5</v>
      </c>
      <c r="J604" s="134">
        <f t="shared" si="17"/>
        <v>3.246</v>
      </c>
      <c r="K604" s="123"/>
    </row>
    <row r="605" spans="3:11">
      <c r="C605" s="159"/>
      <c r="D605" s="130"/>
      <c r="E605" s="132"/>
      <c r="F605" s="134"/>
      <c r="G605" s="132"/>
      <c r="H605" s="134"/>
      <c r="I605" s="151"/>
      <c r="J605" s="132"/>
      <c r="K605" s="123"/>
    </row>
    <row r="606" spans="3:11" ht="27.6">
      <c r="C606" s="159"/>
      <c r="D606" s="245" t="str">
        <f>+CONCATENATE("TOTAL DE ",D586)</f>
        <v>TOTAL DE CONCRETO  f'c= 175 kg/cm2  PARA SARDINELES PERALTADO H=0.30M, B=0.15 , INC. ACABADOS SEGÚN DETALLE</v>
      </c>
      <c r="E606" s="270"/>
      <c r="F606" s="270"/>
      <c r="G606" s="270"/>
      <c r="H606" s="270"/>
      <c r="I606" s="236"/>
      <c r="J606" s="241">
        <f>+SUM(J595:J605)</f>
        <v>4.9326967499999999</v>
      </c>
      <c r="K606" s="246" t="str">
        <f>+K594</f>
        <v>M3</v>
      </c>
    </row>
    <row r="607" spans="3:11">
      <c r="C607" s="159"/>
      <c r="E607" s="132"/>
      <c r="F607" s="132"/>
      <c r="G607" s="132"/>
      <c r="H607" s="132"/>
      <c r="I607" s="114"/>
      <c r="J607" s="132"/>
      <c r="K607" s="120"/>
    </row>
    <row r="608" spans="3:11">
      <c r="C608" s="159">
        <f>C586+0.0001</f>
        <v>5.0302999999999987</v>
      </c>
      <c r="D608" s="259" t="str">
        <f>RESUMEN!D83</f>
        <v>ACERO DE REFUERZO fy=4,200 kg/cm2</v>
      </c>
      <c r="E608" s="132"/>
      <c r="F608" s="132"/>
      <c r="G608" s="132"/>
      <c r="H608" s="132"/>
      <c r="I608" s="132"/>
      <c r="J608" s="132"/>
      <c r="K608" s="120"/>
    </row>
    <row r="609" spans="3:19">
      <c r="C609" s="159"/>
      <c r="E609" s="132"/>
      <c r="F609" s="132"/>
      <c r="G609" s="132"/>
      <c r="H609" s="132"/>
      <c r="I609" s="132"/>
      <c r="J609" s="132"/>
      <c r="K609" s="120"/>
    </row>
    <row r="610" spans="3:19" ht="14.4" thickBot="1">
      <c r="C610" s="159"/>
      <c r="D610" s="118" t="s">
        <v>19</v>
      </c>
      <c r="E610" s="115" t="s">
        <v>13</v>
      </c>
      <c r="F610" s="116" t="s">
        <v>4</v>
      </c>
      <c r="G610" s="116" t="s">
        <v>5</v>
      </c>
      <c r="H610" s="116" t="s">
        <v>6</v>
      </c>
      <c r="I610" s="116" t="s">
        <v>376</v>
      </c>
      <c r="J610" s="116" t="s">
        <v>7</v>
      </c>
      <c r="K610" s="115" t="s">
        <v>3</v>
      </c>
    </row>
    <row r="611" spans="3:19" ht="14.4" thickTop="1">
      <c r="C611" s="159"/>
      <c r="D611" s="312" t="s">
        <v>375</v>
      </c>
      <c r="E611" s="134"/>
      <c r="F611" s="134"/>
      <c r="G611" s="134"/>
      <c r="H611" s="134"/>
      <c r="I611" s="134"/>
      <c r="J611" s="134"/>
      <c r="K611" s="122"/>
      <c r="S611" s="114" t="s">
        <v>512</v>
      </c>
    </row>
    <row r="612" spans="3:19">
      <c r="C612" s="159"/>
      <c r="D612" s="312"/>
      <c r="E612" s="134"/>
      <c r="F612" s="134"/>
      <c r="G612" s="134"/>
      <c r="H612" s="134"/>
      <c r="I612" s="134"/>
      <c r="J612" s="134"/>
      <c r="K612" s="129"/>
    </row>
    <row r="613" spans="3:19">
      <c r="C613" s="159"/>
      <c r="D613" s="312"/>
      <c r="E613" s="134"/>
      <c r="F613" s="134"/>
      <c r="G613" s="134"/>
      <c r="H613" s="134"/>
      <c r="I613" s="134"/>
      <c r="J613" s="134"/>
      <c r="K613" s="122"/>
    </row>
    <row r="614" spans="3:19">
      <c r="C614" s="159"/>
      <c r="D614" s="183" t="s">
        <v>368</v>
      </c>
      <c r="E614" s="134"/>
      <c r="F614" s="134"/>
      <c r="G614" s="134"/>
      <c r="H614" s="134"/>
      <c r="I614" s="134"/>
      <c r="J614" s="134"/>
      <c r="K614" s="134" t="s">
        <v>490</v>
      </c>
    </row>
    <row r="615" spans="3:19">
      <c r="C615" s="159"/>
      <c r="D615" s="183"/>
      <c r="E615" s="134"/>
      <c r="F615" s="134"/>
      <c r="G615" s="134"/>
      <c r="H615" s="134"/>
      <c r="I615" s="134"/>
      <c r="J615" s="134"/>
      <c r="K615" s="121"/>
    </row>
    <row r="616" spans="3:19">
      <c r="C616" s="159"/>
      <c r="D616" s="183" t="str">
        <f>D556</f>
        <v>SARDINEL PARA AREA DE CALISTENIA</v>
      </c>
      <c r="E616" s="134"/>
      <c r="F616" s="134"/>
      <c r="G616" s="134"/>
      <c r="H616" s="134"/>
      <c r="I616" s="134"/>
      <c r="J616" s="134"/>
      <c r="K616" s="121"/>
    </row>
    <row r="617" spans="3:19">
      <c r="C617" s="159"/>
      <c r="D617" s="130" t="s">
        <v>610</v>
      </c>
      <c r="E617" s="134">
        <v>1</v>
      </c>
      <c r="F617" s="134">
        <v>2</v>
      </c>
      <c r="G617" s="134">
        <v>6.7542</v>
      </c>
      <c r="H617" s="276" t="s">
        <v>609</v>
      </c>
      <c r="I617" s="134">
        <v>0.56000000000000005</v>
      </c>
      <c r="J617" s="134">
        <f>+PRODUCT(E617:I617)</f>
        <v>7.5647040000000008</v>
      </c>
      <c r="K617" s="123"/>
    </row>
    <row r="618" spans="3:19">
      <c r="C618" s="159"/>
      <c r="D618" s="130" t="s">
        <v>611</v>
      </c>
      <c r="E618" s="134">
        <v>1</v>
      </c>
      <c r="F618" s="134">
        <v>18</v>
      </c>
      <c r="G618" s="134">
        <v>0.25</v>
      </c>
      <c r="H618" s="276" t="s">
        <v>609</v>
      </c>
      <c r="I618" s="134">
        <v>0.25</v>
      </c>
      <c r="J618" s="134">
        <f>+PRODUCT(E618:I618)</f>
        <v>1.125</v>
      </c>
      <c r="K618" s="123"/>
    </row>
    <row r="619" spans="3:19">
      <c r="C619" s="159"/>
      <c r="D619" s="183"/>
      <c r="E619" s="134"/>
      <c r="F619" s="132"/>
      <c r="G619" s="134"/>
      <c r="H619" s="132"/>
      <c r="I619" s="151"/>
      <c r="J619" s="134"/>
      <c r="K619" s="123"/>
    </row>
    <row r="620" spans="3:19">
      <c r="C620" s="159"/>
      <c r="D620" s="183" t="str">
        <f>D557</f>
        <v>SARDINEL PARA VEREDA DE ADOQUIN</v>
      </c>
      <c r="E620" s="134"/>
      <c r="F620" s="132"/>
      <c r="G620" s="134"/>
      <c r="H620" s="132"/>
      <c r="I620" s="151"/>
      <c r="J620" s="134"/>
      <c r="K620" s="123"/>
    </row>
    <row r="621" spans="3:19">
      <c r="C621" s="159"/>
      <c r="D621" s="130" t="s">
        <v>610</v>
      </c>
      <c r="E621" s="134">
        <v>1</v>
      </c>
      <c r="F621" s="132">
        <v>2</v>
      </c>
      <c r="G621" s="134">
        <f>G598</f>
        <v>13.972949999999999</v>
      </c>
      <c r="H621" s="276" t="s">
        <v>609</v>
      </c>
      <c r="I621" s="134">
        <v>0.56000000000000005</v>
      </c>
      <c r="J621" s="134">
        <f t="shared" ref="J621:J630" si="18">+PRODUCT(E621:I621)</f>
        <v>15.649704</v>
      </c>
      <c r="K621" s="123"/>
    </row>
    <row r="622" spans="3:19">
      <c r="C622" s="159"/>
      <c r="D622" s="130" t="s">
        <v>611</v>
      </c>
      <c r="E622" s="134">
        <v>1</v>
      </c>
      <c r="F622" s="132">
        <v>35</v>
      </c>
      <c r="G622" s="134">
        <v>0.25</v>
      </c>
      <c r="H622" s="276" t="s">
        <v>609</v>
      </c>
      <c r="I622" s="134">
        <v>0.25</v>
      </c>
      <c r="J622" s="134">
        <f t="shared" si="18"/>
        <v>2.1875</v>
      </c>
      <c r="K622" s="123"/>
    </row>
    <row r="623" spans="3:19">
      <c r="C623" s="159"/>
      <c r="D623" s="130"/>
      <c r="E623" s="134"/>
      <c r="F623" s="134"/>
      <c r="G623" s="134"/>
      <c r="H623" s="132"/>
      <c r="I623" s="134"/>
      <c r="J623" s="134"/>
      <c r="K623" s="123"/>
    </row>
    <row r="624" spans="3:19">
      <c r="C624" s="159"/>
      <c r="D624" s="183" t="str">
        <f>D600</f>
        <v>SARDINEL PARA JARDIN CIRCULAR</v>
      </c>
      <c r="E624" s="132"/>
      <c r="F624" s="134"/>
      <c r="G624" s="132"/>
      <c r="H624" s="134"/>
      <c r="I624" s="134"/>
      <c r="J624" s="134"/>
      <c r="K624" s="123"/>
    </row>
    <row r="625" spans="3:11">
      <c r="C625" s="159"/>
      <c r="D625" s="130" t="s">
        <v>612</v>
      </c>
      <c r="E625" s="134">
        <v>1</v>
      </c>
      <c r="F625" s="134">
        <v>3</v>
      </c>
      <c r="G625" s="134">
        <f>G601</f>
        <v>2.5132500000000002</v>
      </c>
      <c r="H625" s="276" t="s">
        <v>609</v>
      </c>
      <c r="I625" s="134">
        <v>0.56000000000000005</v>
      </c>
      <c r="J625" s="134">
        <f t="shared" si="18"/>
        <v>4.2222600000000003</v>
      </c>
      <c r="K625" s="123"/>
    </row>
    <row r="626" spans="3:11">
      <c r="C626" s="159"/>
      <c r="D626" s="130" t="s">
        <v>611</v>
      </c>
      <c r="E626" s="134">
        <v>1</v>
      </c>
      <c r="F626" s="134">
        <v>7</v>
      </c>
      <c r="G626" s="134">
        <v>0.5</v>
      </c>
      <c r="H626" s="276" t="s">
        <v>609</v>
      </c>
      <c r="I626" s="134">
        <v>0.25</v>
      </c>
      <c r="J626" s="134">
        <f t="shared" si="18"/>
        <v>0.875</v>
      </c>
      <c r="K626" s="123"/>
    </row>
    <row r="627" spans="3:11">
      <c r="C627" s="159"/>
      <c r="D627" s="130"/>
      <c r="E627" s="114"/>
      <c r="F627" s="134"/>
      <c r="G627" s="114"/>
      <c r="H627" s="134"/>
      <c r="I627" s="134"/>
      <c r="J627" s="134"/>
      <c r="K627" s="123"/>
    </row>
    <row r="628" spans="3:11">
      <c r="C628" s="159"/>
      <c r="D628" s="183" t="str">
        <f>D603</f>
        <v>SARDINEL PARA JARDIN CUADRADO</v>
      </c>
      <c r="E628" s="114"/>
      <c r="F628" s="134"/>
      <c r="G628" s="114"/>
      <c r="H628" s="134"/>
      <c r="I628" s="134"/>
      <c r="J628" s="134"/>
      <c r="K628" s="123"/>
    </row>
    <row r="629" spans="3:11">
      <c r="C629" s="159"/>
      <c r="D629" s="130" t="s">
        <v>610</v>
      </c>
      <c r="E629" s="134">
        <v>1</v>
      </c>
      <c r="F629" s="134">
        <v>3</v>
      </c>
      <c r="G629" s="134">
        <f>G604</f>
        <v>5.41</v>
      </c>
      <c r="H629" s="276" t="s">
        <v>609</v>
      </c>
      <c r="I629" s="134">
        <v>0.56000000000000005</v>
      </c>
      <c r="J629" s="134">
        <f t="shared" si="18"/>
        <v>9.0888000000000009</v>
      </c>
      <c r="K629" s="123"/>
    </row>
    <row r="630" spans="3:11">
      <c r="C630" s="159"/>
      <c r="D630" s="130" t="s">
        <v>611</v>
      </c>
      <c r="E630" s="134">
        <v>1</v>
      </c>
      <c r="F630" s="134">
        <v>14</v>
      </c>
      <c r="G630" s="134">
        <v>0.5</v>
      </c>
      <c r="H630" s="276" t="s">
        <v>609</v>
      </c>
      <c r="I630" s="134">
        <v>0.25</v>
      </c>
      <c r="J630" s="134">
        <f t="shared" si="18"/>
        <v>1.75</v>
      </c>
      <c r="K630" s="123"/>
    </row>
    <row r="631" spans="3:11">
      <c r="C631" s="159"/>
      <c r="D631" s="130"/>
      <c r="E631" s="134"/>
      <c r="F631" s="132"/>
      <c r="G631" s="134"/>
      <c r="H631" s="132"/>
      <c r="I631" s="134"/>
      <c r="J631" s="134"/>
      <c r="K631" s="123"/>
    </row>
    <row r="632" spans="3:11">
      <c r="C632" s="159"/>
      <c r="D632" s="277" t="str">
        <f>+CONCATENATE("TOTAL DE ",D608)</f>
        <v>TOTAL DE ACERO DE REFUERZO fy=4,200 kg/cm2</v>
      </c>
      <c r="E632" s="146"/>
      <c r="F632" s="146"/>
      <c r="G632" s="146"/>
      <c r="H632" s="146"/>
      <c r="I632" s="125"/>
      <c r="J632" s="241">
        <f>SUM(J617:J631)</f>
        <v>42.462967999999996</v>
      </c>
      <c r="K632" s="246" t="s">
        <v>490</v>
      </c>
    </row>
    <row r="633" spans="3:11">
      <c r="C633" s="159"/>
      <c r="E633" s="132"/>
      <c r="F633" s="132"/>
      <c r="G633" s="132"/>
      <c r="H633" s="132"/>
      <c r="I633" s="114"/>
      <c r="J633" s="132"/>
      <c r="K633" s="120"/>
    </row>
    <row r="634" spans="3:11">
      <c r="C634" s="159">
        <f>C608+0.0001</f>
        <v>5.0303999999999984</v>
      </c>
      <c r="D634" s="258" t="str">
        <f>RESUMEN!D84</f>
        <v>CURADO DE CONCRETO CON ADITIVO</v>
      </c>
      <c r="E634" s="132"/>
      <c r="F634" s="132"/>
      <c r="G634" s="132"/>
      <c r="H634" s="132"/>
      <c r="I634" s="132"/>
      <c r="J634" s="132"/>
      <c r="K634" s="120"/>
    </row>
    <row r="635" spans="3:11" ht="14.4" thickBot="1">
      <c r="C635" s="159"/>
      <c r="D635" s="115" t="s">
        <v>19</v>
      </c>
      <c r="E635" s="115" t="s">
        <v>13</v>
      </c>
      <c r="F635" s="116" t="s">
        <v>4</v>
      </c>
      <c r="G635" s="116" t="s">
        <v>5</v>
      </c>
      <c r="H635" s="116" t="s">
        <v>6</v>
      </c>
      <c r="I635" s="116" t="s">
        <v>11</v>
      </c>
      <c r="J635" s="116" t="s">
        <v>7</v>
      </c>
      <c r="K635" s="115" t="s">
        <v>3</v>
      </c>
    </row>
    <row r="636" spans="3:11" ht="14.4" thickTop="1">
      <c r="C636" s="159"/>
      <c r="D636" s="121"/>
      <c r="E636" s="134"/>
      <c r="F636" s="134"/>
      <c r="G636" s="134"/>
      <c r="H636" s="134"/>
      <c r="I636" s="134"/>
      <c r="J636" s="134"/>
      <c r="K636" s="122"/>
    </row>
    <row r="637" spans="3:11">
      <c r="C637" s="159"/>
      <c r="D637" s="311" t="s">
        <v>26</v>
      </c>
      <c r="E637" s="134"/>
      <c r="F637" s="134"/>
      <c r="G637" s="134"/>
      <c r="H637" s="134"/>
      <c r="I637" s="134"/>
      <c r="J637" s="134"/>
      <c r="K637" s="129"/>
    </row>
    <row r="638" spans="3:11">
      <c r="C638" s="159"/>
      <c r="D638" s="311"/>
      <c r="E638" s="134"/>
      <c r="F638" s="134"/>
      <c r="G638" s="134"/>
      <c r="H638" s="134"/>
      <c r="I638" s="134"/>
      <c r="J638" s="148"/>
      <c r="K638" s="122"/>
    </row>
    <row r="639" spans="3:11">
      <c r="C639" s="159"/>
      <c r="D639" s="131" t="str">
        <f>+D592</f>
        <v>SARDINELES</v>
      </c>
      <c r="E639" s="121"/>
      <c r="F639" s="114"/>
      <c r="G639" s="134"/>
      <c r="H639" s="134"/>
      <c r="I639" s="134"/>
      <c r="J639" s="134"/>
      <c r="K639" s="123" t="s">
        <v>10</v>
      </c>
    </row>
    <row r="640" spans="3:11">
      <c r="C640" s="159"/>
      <c r="D640" s="131"/>
      <c r="E640" s="134"/>
      <c r="F640" s="134"/>
      <c r="G640" s="134"/>
      <c r="H640" s="134"/>
      <c r="I640" s="134"/>
      <c r="J640" s="134"/>
      <c r="K640" s="123"/>
    </row>
    <row r="641" spans="3:11">
      <c r="C641" s="159"/>
      <c r="D641" s="130" t="str">
        <f>D579</f>
        <v>SARDINEL PARA AREA DE CALISTENIA</v>
      </c>
      <c r="E641" s="134">
        <v>1</v>
      </c>
      <c r="F641" s="134">
        <v>1</v>
      </c>
      <c r="G641" s="134">
        <f>G579</f>
        <v>6.7542</v>
      </c>
      <c r="H641" s="134"/>
      <c r="I641" s="134">
        <f>I579+0.15</f>
        <v>0.55000000000000004</v>
      </c>
      <c r="J641" s="134">
        <f>+PRODUCT(E641:I641)</f>
        <v>3.7148100000000004</v>
      </c>
      <c r="K641" s="123"/>
    </row>
    <row r="642" spans="3:11">
      <c r="C642" s="159"/>
      <c r="D642" s="130" t="str">
        <f>D580</f>
        <v>SARDINEL PARA VEREDA DE ADOQUIN</v>
      </c>
      <c r="E642" s="134">
        <v>1</v>
      </c>
      <c r="F642" s="134">
        <v>1</v>
      </c>
      <c r="G642" s="134">
        <f>G580</f>
        <v>13.972949999999999</v>
      </c>
      <c r="H642" s="134"/>
      <c r="I642" s="134">
        <f>I580+0.15</f>
        <v>0.49</v>
      </c>
      <c r="J642" s="134">
        <f>+PRODUCT(E642:I642)</f>
        <v>6.846745499999999</v>
      </c>
      <c r="K642" s="123"/>
    </row>
    <row r="643" spans="3:11">
      <c r="C643" s="159"/>
      <c r="D643" s="130" t="str">
        <f>D581</f>
        <v>SARDINEL PARA JARDIN CIRCULAR</v>
      </c>
      <c r="E643" s="134">
        <v>1</v>
      </c>
      <c r="F643" s="134">
        <v>8</v>
      </c>
      <c r="G643" s="134">
        <f>G581</f>
        <v>2.5132500000000002</v>
      </c>
      <c r="H643" s="134"/>
      <c r="I643" s="134">
        <f>I581+0.15</f>
        <v>0.85</v>
      </c>
      <c r="J643" s="134">
        <f>+PRODUCT(E643:I643)</f>
        <v>17.0901</v>
      </c>
      <c r="K643" s="123"/>
    </row>
    <row r="644" spans="3:11">
      <c r="C644" s="159"/>
      <c r="D644" s="130" t="str">
        <f>D582</f>
        <v>SARDINEL PARA JARDIN CUADRADO</v>
      </c>
      <c r="E644" s="134">
        <v>1</v>
      </c>
      <c r="F644" s="134">
        <v>4</v>
      </c>
      <c r="G644" s="134">
        <f>G582</f>
        <v>5.41</v>
      </c>
      <c r="H644" s="134"/>
      <c r="I644" s="134">
        <f>I582+0.15</f>
        <v>0.85</v>
      </c>
      <c r="J644" s="134">
        <f>+PRODUCT(E644:I644)</f>
        <v>18.393999999999998</v>
      </c>
      <c r="K644" s="123"/>
    </row>
    <row r="645" spans="3:11">
      <c r="C645" s="159"/>
      <c r="D645" s="131"/>
      <c r="E645" s="134"/>
      <c r="F645" s="134"/>
      <c r="G645" s="134"/>
      <c r="H645" s="134"/>
      <c r="I645" s="134"/>
      <c r="J645" s="134"/>
      <c r="K645" s="122"/>
    </row>
    <row r="646" spans="3:11">
      <c r="C646" s="159"/>
      <c r="D646" s="245" t="str">
        <f>+CONCATENATE("TOTAL DE ",D634)</f>
        <v>TOTAL DE CURADO DE CONCRETO CON ADITIVO</v>
      </c>
      <c r="E646" s="270"/>
      <c r="F646" s="270"/>
      <c r="G646" s="270"/>
      <c r="H646" s="270"/>
      <c r="I646" s="270"/>
      <c r="J646" s="241">
        <f>+SUM(J636:J645)</f>
        <v>46.045655499999995</v>
      </c>
      <c r="K646" s="271" t="str">
        <f>+K639</f>
        <v>M2</v>
      </c>
    </row>
    <row r="647" spans="3:11">
      <c r="C647" s="159"/>
      <c r="D647" s="221"/>
      <c r="E647" s="278"/>
      <c r="F647" s="278"/>
      <c r="G647" s="278"/>
      <c r="H647" s="278"/>
      <c r="I647" s="278"/>
      <c r="J647" s="278"/>
      <c r="K647" s="292"/>
    </row>
    <row r="648" spans="3:11">
      <c r="C648" s="159"/>
      <c r="D648" s="221"/>
      <c r="E648" s="278"/>
      <c r="F648" s="278"/>
      <c r="G648" s="278"/>
      <c r="H648" s="278"/>
      <c r="I648" s="278"/>
      <c r="J648" s="278"/>
      <c r="K648" s="292"/>
    </row>
    <row r="649" spans="3:11">
      <c r="C649" s="158">
        <f>C572+0.01</f>
        <v>5.0399999999999991</v>
      </c>
      <c r="D649" s="257" t="str">
        <f>RESUMEN!D85</f>
        <v>PINTURA</v>
      </c>
      <c r="E649" s="132"/>
      <c r="F649" s="132"/>
      <c r="G649" s="132"/>
      <c r="H649" s="132"/>
      <c r="I649" s="132"/>
      <c r="J649" s="132"/>
      <c r="K649" s="120"/>
    </row>
    <row r="650" spans="3:11">
      <c r="C650" s="159">
        <f>C634+0.0001</f>
        <v>5.0304999999999982</v>
      </c>
      <c r="D650" s="258" t="str">
        <f>RESUMEN!D86</f>
        <v>PINTURA EN SARDINELES</v>
      </c>
      <c r="E650" s="132"/>
      <c r="F650" s="132"/>
      <c r="G650" s="132"/>
      <c r="H650" s="132"/>
      <c r="I650" s="132"/>
      <c r="J650" s="132"/>
      <c r="K650" s="120"/>
    </row>
    <row r="651" spans="3:11" ht="14.4" thickBot="1">
      <c r="C651" s="159"/>
      <c r="D651" s="115" t="s">
        <v>19</v>
      </c>
      <c r="E651" s="115" t="s">
        <v>13</v>
      </c>
      <c r="F651" s="116" t="s">
        <v>4</v>
      </c>
      <c r="G651" s="116" t="s">
        <v>5</v>
      </c>
      <c r="H651" s="116" t="s">
        <v>6</v>
      </c>
      <c r="I651" s="116" t="s">
        <v>11</v>
      </c>
      <c r="J651" s="116" t="s">
        <v>7</v>
      </c>
      <c r="K651" s="115" t="s">
        <v>3</v>
      </c>
    </row>
    <row r="652" spans="3:11" ht="14.4" thickTop="1">
      <c r="C652" s="159"/>
      <c r="D652" s="312" t="s">
        <v>377</v>
      </c>
      <c r="E652" s="134"/>
      <c r="F652" s="134"/>
      <c r="G652" s="134"/>
      <c r="H652" s="134"/>
      <c r="I652" s="134"/>
      <c r="J652" s="134"/>
      <c r="K652" s="129"/>
    </row>
    <row r="653" spans="3:11">
      <c r="C653" s="159"/>
      <c r="D653" s="312"/>
      <c r="E653" s="134"/>
      <c r="F653" s="134"/>
      <c r="G653" s="134"/>
      <c r="H653" s="134"/>
      <c r="I653" s="134"/>
      <c r="J653" s="148"/>
      <c r="K653" s="122"/>
    </row>
    <row r="654" spans="3:11">
      <c r="C654" s="159"/>
      <c r="D654" s="184" t="s">
        <v>361</v>
      </c>
      <c r="E654" s="134"/>
      <c r="F654" s="134"/>
      <c r="G654" s="134"/>
      <c r="H654" s="134"/>
      <c r="I654" s="134"/>
      <c r="J654" s="134"/>
      <c r="K654" s="123" t="s">
        <v>10</v>
      </c>
    </row>
    <row r="655" spans="3:11">
      <c r="C655" s="159"/>
      <c r="D655" s="140"/>
      <c r="E655" s="134"/>
      <c r="F655" s="134"/>
      <c r="G655" s="134"/>
      <c r="H655" s="134"/>
      <c r="I655" s="134"/>
      <c r="J655" s="134"/>
      <c r="K655" s="122"/>
    </row>
    <row r="656" spans="3:11">
      <c r="C656" s="159"/>
      <c r="D656" s="130" t="s">
        <v>378</v>
      </c>
      <c r="E656" s="134">
        <v>1</v>
      </c>
      <c r="F656" s="134">
        <v>1</v>
      </c>
      <c r="G656" s="134">
        <f>G579</f>
        <v>6.7542</v>
      </c>
      <c r="H656" s="134">
        <v>0.45</v>
      </c>
      <c r="I656" s="134"/>
      <c r="J656" s="134">
        <f>+PRODUCT(E656:I656)</f>
        <v>3.03939</v>
      </c>
      <c r="K656" s="123"/>
    </row>
    <row r="657" spans="3:11">
      <c r="C657" s="159"/>
      <c r="D657" s="130" t="s">
        <v>379</v>
      </c>
      <c r="E657" s="134">
        <v>1</v>
      </c>
      <c r="F657" s="134">
        <v>1</v>
      </c>
      <c r="G657" s="134">
        <f>G598</f>
        <v>13.972949999999999</v>
      </c>
      <c r="H657" s="134">
        <v>0.3</v>
      </c>
      <c r="I657" s="134"/>
      <c r="J657" s="134">
        <f>+PRODUCT(E657:I657)</f>
        <v>4.1918849999999992</v>
      </c>
      <c r="K657" s="123"/>
    </row>
    <row r="658" spans="3:11">
      <c r="C658" s="159"/>
      <c r="D658" s="130" t="s">
        <v>381</v>
      </c>
      <c r="E658" s="134">
        <v>1</v>
      </c>
      <c r="F658" s="134">
        <v>8</v>
      </c>
      <c r="G658" s="134">
        <f>G581</f>
        <v>2.5132500000000002</v>
      </c>
      <c r="H658" s="134">
        <f>0.25+0.15+0.35</f>
        <v>0.75</v>
      </c>
      <c r="I658" s="134"/>
      <c r="J658" s="134">
        <f>+PRODUCT(E658:I658)</f>
        <v>15.079500000000001</v>
      </c>
      <c r="K658" s="123"/>
    </row>
    <row r="659" spans="3:11">
      <c r="C659" s="159"/>
      <c r="D659" s="130" t="s">
        <v>380</v>
      </c>
      <c r="E659" s="134">
        <v>1</v>
      </c>
      <c r="F659" s="134">
        <v>4</v>
      </c>
      <c r="G659" s="134">
        <f>G582</f>
        <v>5.41</v>
      </c>
      <c r="H659" s="134">
        <f>0.25+0.15+0.35</f>
        <v>0.75</v>
      </c>
      <c r="I659" s="134"/>
      <c r="J659" s="134">
        <f>+PRODUCT(E659:I659)</f>
        <v>16.23</v>
      </c>
      <c r="K659" s="123"/>
    </row>
    <row r="660" spans="3:11">
      <c r="C660" s="159"/>
      <c r="D660" s="131"/>
      <c r="E660" s="134"/>
      <c r="F660" s="134"/>
      <c r="G660" s="134"/>
      <c r="H660" s="134"/>
      <c r="I660" s="134"/>
      <c r="J660" s="134"/>
      <c r="K660" s="123"/>
    </row>
    <row r="661" spans="3:11">
      <c r="C661" s="159"/>
      <c r="D661" s="245" t="str">
        <f>+CONCATENATE("TOTAL DE ",D650)</f>
        <v>TOTAL DE PINTURA EN SARDINELES</v>
      </c>
      <c r="E661" s="270"/>
      <c r="F661" s="270"/>
      <c r="G661" s="270"/>
      <c r="H661" s="270"/>
      <c r="I661" s="270"/>
      <c r="J661" s="241">
        <f>+SUM(J652:J660)</f>
        <v>38.540774999999996</v>
      </c>
      <c r="K661" s="271" t="str">
        <f>+K654</f>
        <v>M2</v>
      </c>
    </row>
    <row r="662" spans="3:11">
      <c r="C662" s="159"/>
      <c r="E662" s="132"/>
      <c r="F662" s="132"/>
      <c r="G662" s="132"/>
      <c r="H662" s="132"/>
      <c r="I662" s="132"/>
      <c r="J662" s="132"/>
      <c r="K662" s="120"/>
    </row>
    <row r="663" spans="3:11">
      <c r="C663" s="157">
        <v>6</v>
      </c>
      <c r="D663" s="256" t="str">
        <f>RESUMEN!D87</f>
        <v xml:space="preserve">TRIBUNAS </v>
      </c>
      <c r="E663" s="132"/>
      <c r="F663" s="132"/>
      <c r="G663" s="132"/>
      <c r="H663" s="132"/>
      <c r="I663" s="132"/>
      <c r="J663" s="132"/>
      <c r="K663" s="113"/>
    </row>
    <row r="664" spans="3:11">
      <c r="C664" s="158">
        <f>C663+0.01</f>
        <v>6.01</v>
      </c>
      <c r="D664" s="257" t="str">
        <f>RESUMEN!D88</f>
        <v>TRABAJOS PRELIMINARES</v>
      </c>
      <c r="E664" s="132"/>
      <c r="F664" s="132"/>
      <c r="G664" s="132"/>
      <c r="H664" s="132"/>
      <c r="I664" s="132"/>
      <c r="J664" s="132"/>
      <c r="K664" s="113"/>
    </row>
    <row r="665" spans="3:11">
      <c r="C665" s="159">
        <f>+C664+0.0001</f>
        <v>6.0100999999999996</v>
      </c>
      <c r="D665" s="258" t="str">
        <f>RESUMEN!D89</f>
        <v>TRAZO Y REPLANTEO C/ EQUIPO</v>
      </c>
      <c r="E665" s="132"/>
      <c r="F665" s="132"/>
      <c r="G665" s="132"/>
      <c r="H665" s="132"/>
      <c r="I665" s="132"/>
      <c r="J665" s="132"/>
      <c r="K665" s="120"/>
    </row>
    <row r="666" spans="3:11">
      <c r="C666" s="159"/>
      <c r="E666" s="132"/>
      <c r="F666" s="132" t="s">
        <v>58</v>
      </c>
      <c r="G666" s="132"/>
      <c r="H666" s="132"/>
      <c r="I666" s="132"/>
      <c r="J666" s="132"/>
      <c r="K666" s="120"/>
    </row>
    <row r="667" spans="3:11" ht="14.4" thickBot="1">
      <c r="C667" s="159"/>
      <c r="D667" s="115" t="s">
        <v>19</v>
      </c>
      <c r="E667" s="115" t="s">
        <v>13</v>
      </c>
      <c r="F667" s="116" t="s">
        <v>4</v>
      </c>
      <c r="G667" s="116" t="s">
        <v>5</v>
      </c>
      <c r="H667" s="116" t="s">
        <v>6</v>
      </c>
      <c r="I667" s="116" t="s">
        <v>32</v>
      </c>
      <c r="J667" s="116" t="s">
        <v>7</v>
      </c>
      <c r="K667" s="115" t="s">
        <v>3</v>
      </c>
    </row>
    <row r="668" spans="3:11" ht="14.4" thickTop="1">
      <c r="C668" s="159"/>
      <c r="D668" s="121"/>
      <c r="E668" s="134"/>
      <c r="F668" s="134"/>
      <c r="G668" s="134"/>
      <c r="H668" s="134"/>
      <c r="I668" s="134"/>
      <c r="J668" s="134"/>
      <c r="K668" s="122"/>
    </row>
    <row r="669" spans="3:11">
      <c r="C669" s="159"/>
      <c r="D669" s="312" t="s">
        <v>390</v>
      </c>
      <c r="E669" s="134"/>
      <c r="F669" s="134"/>
      <c r="G669" s="134"/>
      <c r="H669" s="134"/>
      <c r="I669" s="134"/>
      <c r="J669" s="134"/>
      <c r="K669" s="122"/>
    </row>
    <row r="670" spans="3:11">
      <c r="C670" s="159"/>
      <c r="D670" s="312"/>
      <c r="E670" s="134"/>
      <c r="F670" s="134"/>
      <c r="G670" s="134"/>
      <c r="H670" s="134"/>
      <c r="I670" s="134"/>
      <c r="J670" s="134"/>
      <c r="K670" s="129"/>
    </row>
    <row r="671" spans="3:11">
      <c r="C671" s="159"/>
      <c r="D671" s="184" t="s">
        <v>389</v>
      </c>
      <c r="E671" s="134"/>
      <c r="F671" s="134"/>
      <c r="G671" s="134"/>
      <c r="H671" s="134"/>
      <c r="I671" s="134"/>
      <c r="J671" s="134"/>
      <c r="K671" s="123" t="s">
        <v>10</v>
      </c>
    </row>
    <row r="672" spans="3:11">
      <c r="C672" s="159"/>
      <c r="D672" s="164"/>
      <c r="E672" s="134"/>
      <c r="F672" s="134"/>
      <c r="G672" s="134"/>
      <c r="H672" s="134"/>
      <c r="I672" s="134"/>
      <c r="J672" s="134"/>
      <c r="K672" s="123"/>
    </row>
    <row r="673" spans="3:11">
      <c r="C673" s="159"/>
      <c r="D673" s="130" t="s">
        <v>575</v>
      </c>
      <c r="E673" s="134">
        <v>1</v>
      </c>
      <c r="F673" s="134">
        <v>1</v>
      </c>
      <c r="G673" s="134">
        <v>14.600099999999999</v>
      </c>
      <c r="H673" s="194">
        <v>1.62</v>
      </c>
      <c r="I673" s="134"/>
      <c r="J673" s="134">
        <f>+PRODUCT(E673:I673)</f>
        <v>23.652162000000001</v>
      </c>
      <c r="K673" s="123"/>
    </row>
    <row r="674" spans="3:11">
      <c r="C674" s="159"/>
      <c r="D674" s="130" t="s">
        <v>576</v>
      </c>
      <c r="E674" s="134">
        <v>1</v>
      </c>
      <c r="F674" s="134">
        <v>1</v>
      </c>
      <c r="G674" s="134">
        <f>14.1501</f>
        <v>14.1501</v>
      </c>
      <c r="H674" s="194">
        <v>1.62</v>
      </c>
      <c r="I674" s="134"/>
      <c r="J674" s="134">
        <f t="shared" ref="J674:J676" si="19">+PRODUCT(E674:I674)</f>
        <v>22.923162000000001</v>
      </c>
      <c r="K674" s="123"/>
    </row>
    <row r="675" spans="3:11">
      <c r="C675" s="159"/>
      <c r="D675" s="130" t="s">
        <v>577</v>
      </c>
      <c r="E675" s="134">
        <v>1</v>
      </c>
      <c r="F675" s="134">
        <v>1</v>
      </c>
      <c r="G675" s="134">
        <f>G673</f>
        <v>14.600099999999999</v>
      </c>
      <c r="H675" s="194">
        <v>1.62</v>
      </c>
      <c r="I675" s="134"/>
      <c r="J675" s="134">
        <f t="shared" si="19"/>
        <v>23.652162000000001</v>
      </c>
      <c r="K675" s="123"/>
    </row>
    <row r="676" spans="3:11">
      <c r="C676" s="159"/>
      <c r="D676" s="130" t="s">
        <v>578</v>
      </c>
      <c r="E676" s="134">
        <v>1</v>
      </c>
      <c r="F676" s="134">
        <v>1</v>
      </c>
      <c r="G676" s="134">
        <f>G674</f>
        <v>14.1501</v>
      </c>
      <c r="H676" s="194">
        <v>1.62</v>
      </c>
      <c r="I676" s="134"/>
      <c r="J676" s="134">
        <f t="shared" si="19"/>
        <v>22.923162000000001</v>
      </c>
      <c r="K676" s="123"/>
    </row>
    <row r="677" spans="3:11">
      <c r="C677" s="159"/>
      <c r="D677" s="133"/>
      <c r="E677" s="134"/>
      <c r="F677" s="134"/>
      <c r="G677" s="134"/>
      <c r="H677" s="134"/>
      <c r="I677" s="134"/>
      <c r="J677" s="134"/>
      <c r="K677" s="122"/>
    </row>
    <row r="678" spans="3:11">
      <c r="C678" s="159"/>
      <c r="D678" s="245" t="str">
        <f>+CONCATENATE("TOTAL DE ",D665)</f>
        <v>TOTAL DE TRAZO Y REPLANTEO C/ EQUIPO</v>
      </c>
      <c r="E678" s="270"/>
      <c r="F678" s="270"/>
      <c r="G678" s="270"/>
      <c r="H678" s="270"/>
      <c r="I678" s="270"/>
      <c r="J678" s="291">
        <f>+SUM(J668:J677)</f>
        <v>93.150648000000004</v>
      </c>
      <c r="K678" s="271" t="str">
        <f>+K671</f>
        <v>M2</v>
      </c>
    </row>
    <row r="679" spans="3:11">
      <c r="C679" s="159"/>
      <c r="E679" s="132"/>
      <c r="F679" s="132"/>
      <c r="G679" s="132"/>
      <c r="H679" s="132"/>
      <c r="I679" s="132"/>
      <c r="J679" s="132"/>
      <c r="K679" s="120"/>
    </row>
    <row r="680" spans="3:11">
      <c r="C680" s="159">
        <f>C665+0.0001</f>
        <v>6.0101999999999993</v>
      </c>
      <c r="D680" s="258" t="str">
        <f>RESUMEN!D90</f>
        <v>DEMOLICION DE ESTRUCTURA DE CONCRETO C/MAQUINARIA,</v>
      </c>
      <c r="E680" s="132"/>
      <c r="F680" s="132"/>
      <c r="G680" s="132"/>
      <c r="H680" s="132"/>
      <c r="I680" s="132"/>
      <c r="J680" s="132"/>
      <c r="K680" s="120"/>
    </row>
    <row r="681" spans="3:11" ht="14.4" thickBot="1">
      <c r="C681" s="159"/>
      <c r="D681" s="115" t="s">
        <v>19</v>
      </c>
      <c r="E681" s="115" t="s">
        <v>13</v>
      </c>
      <c r="F681" s="116" t="s">
        <v>4</v>
      </c>
      <c r="G681" s="116" t="s">
        <v>5</v>
      </c>
      <c r="H681" s="116" t="s">
        <v>6</v>
      </c>
      <c r="I681" s="116" t="s">
        <v>32</v>
      </c>
      <c r="J681" s="116" t="s">
        <v>7</v>
      </c>
      <c r="K681" s="115" t="s">
        <v>3</v>
      </c>
    </row>
    <row r="682" spans="3:11" ht="9.6" customHeight="1" thickTop="1">
      <c r="C682" s="159"/>
      <c r="D682" s="121"/>
      <c r="E682" s="134"/>
      <c r="F682" s="134"/>
      <c r="G682" s="134"/>
      <c r="H682" s="134"/>
      <c r="I682" s="134"/>
      <c r="J682" s="134"/>
      <c r="K682" s="122"/>
    </row>
    <row r="683" spans="3:11" ht="16.8" customHeight="1">
      <c r="C683" s="159"/>
      <c r="D683" s="198" t="s">
        <v>392</v>
      </c>
      <c r="E683" s="134"/>
      <c r="F683" s="134"/>
      <c r="G683" s="134"/>
      <c r="H683" s="134"/>
      <c r="I683" s="134"/>
      <c r="J683" s="134"/>
      <c r="K683" s="122"/>
    </row>
    <row r="684" spans="3:11" ht="6.6" customHeight="1">
      <c r="C684" s="159"/>
      <c r="D684" s="198"/>
      <c r="E684" s="134"/>
      <c r="F684" s="134"/>
      <c r="G684" s="134"/>
      <c r="H684" s="134"/>
      <c r="I684" s="134"/>
      <c r="J684" s="134"/>
      <c r="K684" s="129"/>
    </row>
    <row r="685" spans="3:11">
      <c r="C685" s="159"/>
      <c r="D685" s="130" t="s">
        <v>350</v>
      </c>
      <c r="E685" s="148"/>
      <c r="G685" s="218"/>
      <c r="H685" s="134"/>
      <c r="I685" s="134"/>
      <c r="K685" s="123" t="s">
        <v>12</v>
      </c>
    </row>
    <row r="686" spans="3:11">
      <c r="C686" s="159"/>
      <c r="D686" s="121" t="s">
        <v>579</v>
      </c>
      <c r="E686" s="134">
        <v>1</v>
      </c>
      <c r="F686" s="134">
        <v>1</v>
      </c>
      <c r="G686" s="134">
        <v>22.489000000000001</v>
      </c>
      <c r="H686" s="134">
        <v>1.08</v>
      </c>
      <c r="I686" s="134">
        <v>1</v>
      </c>
      <c r="J686" s="134">
        <f>+PRODUCT(E686:I686)</f>
        <v>24.288120000000003</v>
      </c>
      <c r="K686" s="123"/>
    </row>
    <row r="687" spans="3:11">
      <c r="C687" s="159"/>
      <c r="D687" s="249" t="s">
        <v>580</v>
      </c>
      <c r="E687" s="134">
        <v>1</v>
      </c>
      <c r="F687" s="134">
        <v>1</v>
      </c>
      <c r="G687" s="134">
        <f>G686</f>
        <v>22.489000000000001</v>
      </c>
      <c r="H687" s="134">
        <f>H686</f>
        <v>1.08</v>
      </c>
      <c r="I687" s="134">
        <v>0.4</v>
      </c>
      <c r="J687" s="134">
        <f>+PRODUCT(E687:I687)</f>
        <v>9.7152480000000025</v>
      </c>
      <c r="K687" s="123"/>
    </row>
    <row r="688" spans="3:11">
      <c r="C688" s="159"/>
      <c r="D688" s="249"/>
      <c r="E688" s="134"/>
      <c r="F688" s="134"/>
      <c r="G688" s="134"/>
      <c r="H688" s="134"/>
      <c r="I688" s="134"/>
      <c r="J688" s="134"/>
      <c r="K688" s="123"/>
    </row>
    <row r="689" spans="3:11">
      <c r="C689" s="159"/>
      <c r="D689" s="121" t="s">
        <v>581</v>
      </c>
      <c r="E689" s="134">
        <v>1</v>
      </c>
      <c r="F689" s="134">
        <v>1</v>
      </c>
      <c r="G689" s="134">
        <v>22.4892</v>
      </c>
      <c r="H689" s="134">
        <v>1.08</v>
      </c>
      <c r="I689" s="134">
        <v>1</v>
      </c>
      <c r="J689" s="134">
        <f>+PRODUCT(E689:I689)</f>
        <v>24.288336000000001</v>
      </c>
      <c r="K689" s="123"/>
    </row>
    <row r="690" spans="3:11">
      <c r="C690" s="159"/>
      <c r="D690" s="249" t="s">
        <v>582</v>
      </c>
      <c r="E690" s="134">
        <v>1</v>
      </c>
      <c r="F690" s="134">
        <v>1</v>
      </c>
      <c r="G690" s="134">
        <f>G689</f>
        <v>22.4892</v>
      </c>
      <c r="H690" s="134">
        <f>H689</f>
        <v>1.08</v>
      </c>
      <c r="I690" s="134">
        <v>0.4</v>
      </c>
      <c r="J690" s="134">
        <f>+PRODUCT(E690:I690)</f>
        <v>9.7153344000000015</v>
      </c>
      <c r="K690" s="123"/>
    </row>
    <row r="691" spans="3:11">
      <c r="C691" s="159"/>
      <c r="D691" s="249"/>
      <c r="E691" s="134"/>
      <c r="F691" s="134"/>
      <c r="G691" s="134"/>
      <c r="H691" s="134"/>
      <c r="I691" s="134"/>
      <c r="J691" s="134"/>
      <c r="K691" s="123"/>
    </row>
    <row r="692" spans="3:11">
      <c r="C692" s="159"/>
      <c r="D692" s="245" t="str">
        <f>+CONCATENATE("TOTAL DE ",D680)</f>
        <v>TOTAL DE DEMOLICION DE ESTRUCTURA DE CONCRETO C/MAQUINARIA,</v>
      </c>
      <c r="E692" s="270"/>
      <c r="F692" s="270"/>
      <c r="G692" s="270"/>
      <c r="H692" s="270"/>
      <c r="I692" s="270"/>
      <c r="J692" s="291">
        <f>SUM(J685:J691)</f>
        <v>68.007038400000013</v>
      </c>
      <c r="K692" s="271" t="str">
        <f>+K685</f>
        <v>M3</v>
      </c>
    </row>
    <row r="693" spans="3:11">
      <c r="C693" s="159"/>
      <c r="E693" s="132"/>
      <c r="F693" s="132"/>
      <c r="G693" s="132"/>
      <c r="H693" s="132"/>
      <c r="I693" s="132"/>
      <c r="J693" s="132"/>
      <c r="K693" s="120"/>
    </row>
    <row r="694" spans="3:11">
      <c r="C694" s="159">
        <f>+C680+0.0001</f>
        <v>6.0102999999999991</v>
      </c>
      <c r="D694" s="258" t="str">
        <f>RESUMEN!D94</f>
        <v>ELIMINACIÓN DE MATERIAL EXCEDENTE C/VOLQUETE 15M3 D= 25KM</v>
      </c>
      <c r="E694" s="132"/>
      <c r="F694" s="132"/>
      <c r="G694" s="132"/>
      <c r="H694" s="132"/>
      <c r="I694" s="132"/>
      <c r="J694" s="132"/>
      <c r="K694" s="120"/>
    </row>
    <row r="695" spans="3:11" ht="14.4" thickBot="1">
      <c r="C695" s="159"/>
      <c r="D695" s="115" t="s">
        <v>19</v>
      </c>
      <c r="E695" s="115" t="s">
        <v>13</v>
      </c>
      <c r="F695" s="116" t="s">
        <v>4</v>
      </c>
      <c r="G695" s="116" t="s">
        <v>5</v>
      </c>
      <c r="H695" s="116" t="s">
        <v>6</v>
      </c>
      <c r="I695" s="116" t="s">
        <v>11</v>
      </c>
      <c r="J695" s="116" t="s">
        <v>7</v>
      </c>
      <c r="K695" s="115" t="s">
        <v>3</v>
      </c>
    </row>
    <row r="696" spans="3:11" ht="14.4" thickTop="1">
      <c r="C696" s="159"/>
      <c r="D696" s="311" t="s">
        <v>24</v>
      </c>
      <c r="E696" s="134"/>
      <c r="F696" s="134"/>
      <c r="G696" s="134"/>
      <c r="H696" s="134"/>
      <c r="I696" s="134"/>
      <c r="J696" s="134"/>
      <c r="K696" s="122"/>
    </row>
    <row r="697" spans="3:11">
      <c r="C697" s="159"/>
      <c r="D697" s="311"/>
      <c r="E697" s="134"/>
      <c r="F697" s="134"/>
      <c r="G697" s="134"/>
      <c r="H697" s="134"/>
      <c r="I697" s="134"/>
      <c r="J697" s="134"/>
      <c r="K697" s="129"/>
    </row>
    <row r="698" spans="3:11">
      <c r="C698" s="159"/>
      <c r="D698" s="311"/>
      <c r="E698" s="134"/>
      <c r="F698" s="134"/>
      <c r="G698" s="134"/>
      <c r="H698" s="134"/>
      <c r="I698" s="134"/>
      <c r="J698" s="148"/>
      <c r="K698" s="122"/>
    </row>
    <row r="699" spans="3:11">
      <c r="C699" s="159"/>
      <c r="D699" s="133" t="s">
        <v>478</v>
      </c>
      <c r="E699" s="134">
        <v>1.3</v>
      </c>
      <c r="F699" s="134">
        <v>1</v>
      </c>
      <c r="G699" s="134" t="s">
        <v>15</v>
      </c>
      <c r="H699" s="134">
        <f>J692</f>
        <v>68.007038400000013</v>
      </c>
      <c r="I699" s="134"/>
      <c r="J699" s="134">
        <f>+PRODUCT(E699:I699)</f>
        <v>88.409149920000019</v>
      </c>
      <c r="K699" s="123" t="s">
        <v>12</v>
      </c>
    </row>
    <row r="700" spans="3:11">
      <c r="C700" s="159"/>
      <c r="D700" s="131"/>
      <c r="E700" s="134"/>
      <c r="F700" s="134"/>
      <c r="G700" s="134"/>
      <c r="H700" s="134"/>
      <c r="I700" s="134"/>
      <c r="J700" s="134"/>
      <c r="K700" s="122"/>
    </row>
    <row r="701" spans="3:11">
      <c r="C701" s="159"/>
      <c r="D701" s="289" t="str">
        <f>+CONCATENATE("TOTAL DE ",D680)</f>
        <v>TOTAL DE DEMOLICION DE ESTRUCTURA DE CONCRETO C/MAQUINARIA,</v>
      </c>
      <c r="E701" s="270"/>
      <c r="F701" s="270"/>
      <c r="G701" s="270"/>
      <c r="H701" s="270"/>
      <c r="I701" s="270"/>
      <c r="J701" s="241">
        <f>+SUM(J696:J700)</f>
        <v>88.409149920000019</v>
      </c>
      <c r="K701" s="271" t="str">
        <f>+K699</f>
        <v>M3</v>
      </c>
    </row>
    <row r="702" spans="3:11">
      <c r="C702" s="199"/>
      <c r="E702" s="132"/>
      <c r="F702" s="132"/>
      <c r="G702" s="132"/>
      <c r="H702" s="132"/>
      <c r="I702" s="132"/>
      <c r="J702" s="132"/>
      <c r="K702" s="120"/>
    </row>
    <row r="703" spans="3:11">
      <c r="C703" s="158">
        <f>C664+0.01</f>
        <v>6.02</v>
      </c>
      <c r="D703" s="257" t="str">
        <f>RESUMEN!D92</f>
        <v>MOVIMIENTO DE TIERRAS</v>
      </c>
      <c r="E703" s="132"/>
      <c r="F703" s="132"/>
      <c r="G703" s="132"/>
      <c r="H703" s="132"/>
      <c r="I703" s="132"/>
      <c r="J703" s="132"/>
      <c r="K703" s="113"/>
    </row>
    <row r="704" spans="3:11">
      <c r="C704" s="159">
        <f>+C703+0.0001</f>
        <v>6.0200999999999993</v>
      </c>
      <c r="D704" s="258" t="str">
        <f>RESUMEN!D93</f>
        <v xml:space="preserve"> EXCAVACIÓN A MANO EN TERRENO NORMAL PARA TRIBUNA</v>
      </c>
      <c r="E704" s="132"/>
      <c r="F704" s="132"/>
      <c r="G704" s="132"/>
      <c r="H704" s="132"/>
      <c r="I704" s="132"/>
      <c r="J704" s="132"/>
      <c r="K704" s="120"/>
    </row>
    <row r="705" spans="3:11" ht="14.4" thickBot="1">
      <c r="C705" s="159"/>
      <c r="D705" s="115" t="s">
        <v>19</v>
      </c>
      <c r="E705" s="115" t="s">
        <v>13</v>
      </c>
      <c r="F705" s="116" t="s">
        <v>4</v>
      </c>
      <c r="G705" s="116" t="s">
        <v>5</v>
      </c>
      <c r="H705" s="116" t="s">
        <v>6</v>
      </c>
      <c r="I705" s="116" t="s">
        <v>11</v>
      </c>
      <c r="J705" s="116" t="s">
        <v>7</v>
      </c>
      <c r="K705" s="115" t="s">
        <v>3</v>
      </c>
    </row>
    <row r="706" spans="3:11" ht="14.4" thickTop="1">
      <c r="C706" s="159"/>
      <c r="D706" s="312" t="s">
        <v>449</v>
      </c>
      <c r="E706" s="134"/>
      <c r="F706" s="134"/>
      <c r="G706" s="134"/>
      <c r="H706" s="134"/>
      <c r="I706" s="134"/>
      <c r="J706" s="134"/>
      <c r="K706" s="122"/>
    </row>
    <row r="707" spans="3:11">
      <c r="C707" s="159"/>
      <c r="D707" s="312"/>
      <c r="E707" s="134"/>
      <c r="F707" s="134"/>
      <c r="G707" s="134"/>
      <c r="H707" s="134"/>
      <c r="I707" s="134"/>
      <c r="J707" s="134"/>
      <c r="K707" s="129"/>
    </row>
    <row r="708" spans="3:11">
      <c r="C708" s="159"/>
      <c r="D708" s="184" t="s">
        <v>391</v>
      </c>
      <c r="E708" s="134"/>
      <c r="F708" s="134"/>
      <c r="G708" s="134"/>
      <c r="H708" s="134"/>
      <c r="I708" s="134"/>
      <c r="J708" s="134"/>
      <c r="K708" s="191" t="s">
        <v>12</v>
      </c>
    </row>
    <row r="709" spans="3:11">
      <c r="C709" s="159"/>
      <c r="D709" s="140"/>
      <c r="E709" s="134"/>
      <c r="F709" s="134"/>
      <c r="G709" s="134"/>
      <c r="H709" s="134"/>
      <c r="I709" s="134"/>
      <c r="J709" s="134"/>
      <c r="K709" s="122"/>
    </row>
    <row r="710" spans="3:11">
      <c r="C710" s="159"/>
      <c r="D710" s="130" t="s">
        <v>583</v>
      </c>
      <c r="E710" s="134">
        <v>1</v>
      </c>
      <c r="F710" s="134">
        <v>2</v>
      </c>
      <c r="G710" s="134">
        <f>G673</f>
        <v>14.600099999999999</v>
      </c>
      <c r="H710" s="194">
        <v>0.45</v>
      </c>
      <c r="I710" s="134">
        <v>0.6</v>
      </c>
      <c r="J710" s="134">
        <f>+PRODUCT(E710:I710)</f>
        <v>7.884053999999999</v>
      </c>
      <c r="K710" s="123"/>
    </row>
    <row r="711" spans="3:11">
      <c r="C711" s="159"/>
      <c r="D711" s="121" t="s">
        <v>584</v>
      </c>
      <c r="E711" s="134">
        <v>1</v>
      </c>
      <c r="F711" s="134">
        <v>2</v>
      </c>
      <c r="G711" s="134">
        <f>G674</f>
        <v>14.1501</v>
      </c>
      <c r="H711" s="194">
        <v>0.45</v>
      </c>
      <c r="I711" s="134">
        <v>0.6</v>
      </c>
      <c r="J711" s="134">
        <f t="shared" ref="J711:J713" si="20">+PRODUCT(E711:I711)</f>
        <v>7.6410539999999996</v>
      </c>
      <c r="K711" s="123"/>
    </row>
    <row r="712" spans="3:11">
      <c r="C712" s="159"/>
      <c r="D712" s="121" t="s">
        <v>585</v>
      </c>
      <c r="E712" s="134">
        <v>1</v>
      </c>
      <c r="F712" s="134">
        <v>2</v>
      </c>
      <c r="G712" s="134">
        <f>G675</f>
        <v>14.600099999999999</v>
      </c>
      <c r="H712" s="194">
        <v>0.45</v>
      </c>
      <c r="I712" s="134">
        <v>0.6</v>
      </c>
      <c r="J712" s="134">
        <f t="shared" si="20"/>
        <v>7.884053999999999</v>
      </c>
      <c r="K712" s="123"/>
    </row>
    <row r="713" spans="3:11">
      <c r="C713" s="159"/>
      <c r="D713" s="121" t="s">
        <v>586</v>
      </c>
      <c r="E713" s="134">
        <v>1</v>
      </c>
      <c r="F713" s="134">
        <v>2</v>
      </c>
      <c r="G713" s="134">
        <f>G676</f>
        <v>14.1501</v>
      </c>
      <c r="H713" s="194">
        <v>0.45</v>
      </c>
      <c r="I713" s="134">
        <v>0.6</v>
      </c>
      <c r="J713" s="134">
        <f t="shared" si="20"/>
        <v>7.6410539999999996</v>
      </c>
      <c r="K713" s="123"/>
    </row>
    <row r="714" spans="3:11">
      <c r="C714" s="159"/>
      <c r="D714" s="130"/>
      <c r="E714" s="134"/>
      <c r="F714" s="134"/>
      <c r="G714" s="134"/>
      <c r="H714" s="134"/>
      <c r="I714" s="134"/>
      <c r="J714" s="134"/>
      <c r="K714" s="122"/>
    </row>
    <row r="715" spans="3:11">
      <c r="C715" s="159"/>
      <c r="D715" s="245" t="str">
        <f>+CONCATENATE("TOTAL DE ",D704)</f>
        <v>TOTAL DE  EXCAVACIÓN A MANO EN TERRENO NORMAL PARA TRIBUNA</v>
      </c>
      <c r="E715" s="270"/>
      <c r="F715" s="270"/>
      <c r="G715" s="270"/>
      <c r="H715" s="270"/>
      <c r="I715" s="270"/>
      <c r="J715" s="241">
        <f>+SUM(J706:J714)</f>
        <v>31.050215999999999</v>
      </c>
      <c r="K715" s="271" t="str">
        <f>+K708</f>
        <v>M3</v>
      </c>
    </row>
    <row r="716" spans="3:11">
      <c r="C716" s="159"/>
      <c r="E716" s="132"/>
      <c r="F716" s="132"/>
      <c r="G716" s="132"/>
      <c r="H716" s="132"/>
      <c r="I716" s="132"/>
      <c r="J716" s="132"/>
      <c r="K716" s="120"/>
    </row>
    <row r="717" spans="3:11">
      <c r="C717" s="159">
        <f>C704+0.0001</f>
        <v>6.0201999999999991</v>
      </c>
      <c r="D717" s="259" t="str">
        <f>RESUMEN!D91</f>
        <v xml:space="preserve">ELIMINACIÓN DE MATERIAL  EXCEDENTE C/VOLQUETE DE 15M3 D= 25KM </v>
      </c>
      <c r="E717" s="114"/>
      <c r="F717" s="114"/>
      <c r="G717" s="114"/>
      <c r="H717" s="114"/>
      <c r="I717" s="114"/>
      <c r="J717" s="114"/>
    </row>
    <row r="718" spans="3:11" ht="14.4" thickBot="1">
      <c r="C718" s="199"/>
      <c r="D718" s="115" t="s">
        <v>19</v>
      </c>
      <c r="E718" s="115" t="s">
        <v>13</v>
      </c>
      <c r="F718" s="116" t="s">
        <v>4</v>
      </c>
      <c r="G718" s="116" t="s">
        <v>5</v>
      </c>
      <c r="H718" s="116" t="s">
        <v>6</v>
      </c>
      <c r="I718" s="116" t="s">
        <v>32</v>
      </c>
      <c r="J718" s="116" t="s">
        <v>7</v>
      </c>
      <c r="K718" s="115" t="s">
        <v>3</v>
      </c>
    </row>
    <row r="719" spans="3:11" ht="14.4" thickTop="1">
      <c r="C719" s="199"/>
      <c r="D719" s="121"/>
      <c r="E719" s="134"/>
      <c r="F719" s="134"/>
      <c r="G719" s="134"/>
      <c r="H719" s="134"/>
      <c r="I719" s="134"/>
      <c r="J719" s="134"/>
      <c r="K719" s="122"/>
    </row>
    <row r="720" spans="3:11" ht="27.6">
      <c r="C720" s="199"/>
      <c r="D720" s="198" t="s">
        <v>587</v>
      </c>
      <c r="E720" s="134"/>
      <c r="F720" s="134"/>
      <c r="G720" s="134"/>
      <c r="H720" s="134"/>
      <c r="I720" s="134"/>
      <c r="J720" s="134"/>
      <c r="K720" s="122"/>
    </row>
    <row r="721" spans="3:11">
      <c r="C721" s="199"/>
      <c r="D721" s="216"/>
      <c r="E721" s="134">
        <v>1.25</v>
      </c>
      <c r="F721" s="134" t="s">
        <v>59</v>
      </c>
      <c r="G721" s="134">
        <f>J715</f>
        <v>31.050215999999999</v>
      </c>
      <c r="H721" s="134"/>
      <c r="I721" s="134"/>
      <c r="J721" s="134">
        <f>G721*E721</f>
        <v>38.81277</v>
      </c>
      <c r="K721" s="123" t="s">
        <v>12</v>
      </c>
    </row>
    <row r="722" spans="3:11">
      <c r="C722" s="199"/>
      <c r="D722" s="130"/>
      <c r="E722" s="134"/>
      <c r="F722" s="134"/>
      <c r="G722" s="134"/>
      <c r="H722" s="134"/>
      <c r="I722" s="134"/>
      <c r="J722" s="134"/>
      <c r="K722" s="123"/>
    </row>
    <row r="723" spans="3:11" ht="27.6">
      <c r="C723" s="199"/>
      <c r="D723" s="245" t="str">
        <f>+CONCATENATE("TOTAL DE ",D717)</f>
        <v xml:space="preserve">TOTAL DE ELIMINACIÓN DE MATERIAL  EXCEDENTE C/VOLQUETE DE 15M3 D= 25KM </v>
      </c>
      <c r="E723" s="270"/>
      <c r="F723" s="270"/>
      <c r="G723" s="270"/>
      <c r="H723" s="270"/>
      <c r="I723" s="270"/>
      <c r="J723" s="241">
        <f>+J721</f>
        <v>38.81277</v>
      </c>
      <c r="K723" s="271" t="str">
        <f>+K721</f>
        <v>M3</v>
      </c>
    </row>
    <row r="724" spans="3:11">
      <c r="C724" s="199"/>
      <c r="E724" s="132"/>
      <c r="F724" s="132"/>
      <c r="G724" s="132"/>
      <c r="H724" s="132"/>
      <c r="I724" s="132"/>
      <c r="J724" s="132"/>
      <c r="K724" s="120"/>
    </row>
    <row r="725" spans="3:11">
      <c r="C725" s="159">
        <f>+C717+0.0001</f>
        <v>6.0202999999999989</v>
      </c>
      <c r="D725" s="258" t="str">
        <f>RESUMEN!D95</f>
        <v>CONFORMACIÓN Y COMPACTACIÓN DE SUBRASANTE</v>
      </c>
      <c r="E725" s="132"/>
      <c r="F725" s="132"/>
      <c r="G725" s="132"/>
      <c r="H725" s="132"/>
      <c r="I725" s="132"/>
      <c r="J725" s="132"/>
      <c r="K725" s="120"/>
    </row>
    <row r="726" spans="3:11">
      <c r="C726" s="159"/>
      <c r="E726" s="132"/>
      <c r="F726" s="132"/>
      <c r="G726" s="132"/>
      <c r="H726" s="132"/>
      <c r="I726" s="132"/>
      <c r="J726" s="132"/>
      <c r="K726" s="120"/>
    </row>
    <row r="727" spans="3:11" ht="14.4" thickBot="1">
      <c r="C727" s="159"/>
      <c r="D727" s="115" t="s">
        <v>19</v>
      </c>
      <c r="E727" s="115" t="s">
        <v>13</v>
      </c>
      <c r="F727" s="116" t="s">
        <v>4</v>
      </c>
      <c r="G727" s="116" t="s">
        <v>5</v>
      </c>
      <c r="H727" s="116" t="s">
        <v>6</v>
      </c>
      <c r="I727" s="116" t="s">
        <v>11</v>
      </c>
      <c r="J727" s="116" t="s">
        <v>7</v>
      </c>
      <c r="K727" s="115" t="s">
        <v>3</v>
      </c>
    </row>
    <row r="728" spans="3:11" ht="14.4" thickTop="1">
      <c r="C728" s="159"/>
      <c r="D728" s="311" t="s">
        <v>23</v>
      </c>
      <c r="E728" s="134"/>
      <c r="F728" s="134"/>
      <c r="G728" s="134"/>
      <c r="H728" s="134"/>
      <c r="I728" s="134"/>
      <c r="J728" s="134"/>
      <c r="K728" s="122"/>
    </row>
    <row r="729" spans="3:11">
      <c r="C729" s="159"/>
      <c r="D729" s="311"/>
      <c r="E729" s="134"/>
      <c r="F729" s="134"/>
      <c r="G729" s="134"/>
      <c r="H729" s="134"/>
      <c r="I729" s="134"/>
      <c r="J729" s="134"/>
      <c r="K729" s="129"/>
    </row>
    <row r="730" spans="3:11">
      <c r="C730" s="159"/>
      <c r="D730" s="311"/>
      <c r="E730" s="134"/>
      <c r="F730" s="134"/>
      <c r="G730" s="134"/>
      <c r="H730" s="134"/>
      <c r="I730" s="134"/>
      <c r="J730" s="148"/>
      <c r="K730" s="122"/>
    </row>
    <row r="731" spans="3:11">
      <c r="C731" s="159"/>
      <c r="D731" s="184" t="s">
        <v>391</v>
      </c>
      <c r="E731" s="134"/>
      <c r="F731" s="134"/>
      <c r="G731" s="134"/>
      <c r="H731" s="134"/>
      <c r="I731" s="134"/>
      <c r="J731" s="134"/>
      <c r="K731" s="191" t="s">
        <v>10</v>
      </c>
    </row>
    <row r="732" spans="3:11">
      <c r="C732" s="159"/>
      <c r="D732" s="130" t="s">
        <v>588</v>
      </c>
      <c r="E732" s="134">
        <v>1</v>
      </c>
      <c r="F732" s="134">
        <v>1</v>
      </c>
      <c r="G732" s="134">
        <f t="shared" ref="G732:H735" si="21">G673</f>
        <v>14.600099999999999</v>
      </c>
      <c r="H732" s="134">
        <f t="shared" si="21"/>
        <v>1.62</v>
      </c>
      <c r="I732" s="134"/>
      <c r="J732" s="134">
        <f>+F732*H732*G732*E732</f>
        <v>23.652162000000001</v>
      </c>
      <c r="K732" s="123"/>
    </row>
    <row r="733" spans="3:11">
      <c r="C733" s="159"/>
      <c r="D733" s="130" t="s">
        <v>576</v>
      </c>
      <c r="E733" s="134">
        <v>1</v>
      </c>
      <c r="F733" s="134">
        <v>1</v>
      </c>
      <c r="G733" s="134">
        <f t="shared" si="21"/>
        <v>14.1501</v>
      </c>
      <c r="H733" s="134">
        <f t="shared" si="21"/>
        <v>1.62</v>
      </c>
      <c r="I733" s="134"/>
      <c r="J733" s="134">
        <f t="shared" ref="J733:J735" si="22">+F733*H733*G733*E733</f>
        <v>22.923162000000001</v>
      </c>
      <c r="K733" s="123"/>
    </row>
    <row r="734" spans="3:11">
      <c r="C734" s="159"/>
      <c r="D734" s="130" t="s">
        <v>577</v>
      </c>
      <c r="E734" s="134">
        <v>1</v>
      </c>
      <c r="F734" s="134">
        <v>1</v>
      </c>
      <c r="G734" s="134">
        <f t="shared" si="21"/>
        <v>14.600099999999999</v>
      </c>
      <c r="H734" s="134">
        <f t="shared" si="21"/>
        <v>1.62</v>
      </c>
      <c r="I734" s="134"/>
      <c r="J734" s="134">
        <f t="shared" si="22"/>
        <v>23.652162000000001</v>
      </c>
      <c r="K734" s="123"/>
    </row>
    <row r="735" spans="3:11">
      <c r="C735" s="159"/>
      <c r="D735" s="130" t="s">
        <v>578</v>
      </c>
      <c r="E735" s="134">
        <v>1</v>
      </c>
      <c r="F735" s="134">
        <v>1</v>
      </c>
      <c r="G735" s="134">
        <f t="shared" si="21"/>
        <v>14.1501</v>
      </c>
      <c r="H735" s="134">
        <f t="shared" si="21"/>
        <v>1.62</v>
      </c>
      <c r="I735" s="134"/>
      <c r="J735" s="134">
        <f t="shared" si="22"/>
        <v>22.923162000000001</v>
      </c>
      <c r="K735" s="123"/>
    </row>
    <row r="736" spans="3:11">
      <c r="C736" s="159"/>
      <c r="D736" s="131"/>
      <c r="E736" s="134"/>
      <c r="F736" s="134"/>
      <c r="G736" s="134"/>
      <c r="H736" s="150"/>
      <c r="I736" s="134"/>
      <c r="J736" s="150"/>
      <c r="K736" s="123"/>
    </row>
    <row r="737" spans="3:11">
      <c r="C737" s="159"/>
      <c r="D737" s="245" t="str">
        <f>+CONCATENATE("TOTAL DE ",D725)</f>
        <v>TOTAL DE CONFORMACIÓN Y COMPACTACIÓN DE SUBRASANTE</v>
      </c>
      <c r="E737" s="270"/>
      <c r="F737" s="270"/>
      <c r="G737" s="270"/>
      <c r="H737" s="270"/>
      <c r="I737" s="270"/>
      <c r="J737" s="241">
        <f>+SUM(J732:J735)</f>
        <v>93.150648000000004</v>
      </c>
      <c r="K737" s="271" t="str">
        <f>+K731</f>
        <v>M2</v>
      </c>
    </row>
    <row r="738" spans="3:11">
      <c r="C738" s="158"/>
      <c r="D738" s="112"/>
      <c r="E738" s="132"/>
      <c r="F738" s="132"/>
      <c r="G738" s="132"/>
      <c r="H738" s="132"/>
      <c r="I738" s="132"/>
      <c r="J738" s="132"/>
      <c r="K738" s="113"/>
    </row>
    <row r="739" spans="3:11">
      <c r="C739" s="158">
        <f>C703+0.01</f>
        <v>6.0299999999999994</v>
      </c>
      <c r="D739" s="257" t="str">
        <f>RESUMEN!D96</f>
        <v>CONCRETO CICLOPEO</v>
      </c>
      <c r="E739" s="132"/>
      <c r="F739" s="132"/>
      <c r="G739" s="132"/>
      <c r="H739" s="132"/>
      <c r="I739" s="132"/>
      <c r="J739" s="132"/>
      <c r="K739" s="113"/>
    </row>
    <row r="740" spans="3:11">
      <c r="C740" s="159">
        <f>+C739+0.0001</f>
        <v>6.0300999999999991</v>
      </c>
      <c r="D740" s="258" t="str">
        <f>RESUMEN!D97</f>
        <v>ENCOFRADO Y DESENCOFRADO TRIBUNAS</v>
      </c>
      <c r="E740" s="132"/>
      <c r="F740" s="132"/>
      <c r="G740" s="132"/>
      <c r="H740" s="132"/>
      <c r="I740" s="132"/>
      <c r="J740" s="132"/>
      <c r="K740" s="120"/>
    </row>
    <row r="741" spans="3:11" ht="14.4" thickBot="1">
      <c r="C741" s="159"/>
      <c r="D741" s="115" t="s">
        <v>19</v>
      </c>
      <c r="E741" s="115" t="s">
        <v>13</v>
      </c>
      <c r="F741" s="116" t="s">
        <v>4</v>
      </c>
      <c r="G741" s="116" t="s">
        <v>5</v>
      </c>
      <c r="H741" s="116" t="s">
        <v>6</v>
      </c>
      <c r="I741" s="116" t="s">
        <v>11</v>
      </c>
      <c r="J741" s="116" t="s">
        <v>7</v>
      </c>
      <c r="K741" s="115" t="s">
        <v>3</v>
      </c>
    </row>
    <row r="742" spans="3:11" ht="14.4" thickTop="1">
      <c r="C742" s="159"/>
      <c r="D742" s="312" t="s">
        <v>393</v>
      </c>
      <c r="E742" s="134"/>
      <c r="F742" s="134"/>
      <c r="G742" s="134"/>
      <c r="H742" s="134"/>
      <c r="I742" s="134"/>
      <c r="J742" s="134"/>
      <c r="K742" s="122"/>
    </row>
    <row r="743" spans="3:11">
      <c r="C743" s="159"/>
      <c r="D743" s="312"/>
      <c r="E743" s="134"/>
      <c r="F743" s="134"/>
      <c r="G743" s="134"/>
      <c r="H743" s="134"/>
      <c r="I743" s="134"/>
      <c r="J743" s="134"/>
      <c r="K743" s="129"/>
    </row>
    <row r="744" spans="3:11">
      <c r="C744" s="159"/>
      <c r="D744" s="184" t="s">
        <v>391</v>
      </c>
      <c r="E744" s="134"/>
      <c r="F744" s="134"/>
      <c r="G744" s="134"/>
      <c r="H744" s="134"/>
      <c r="I744" s="134"/>
      <c r="J744" s="134"/>
      <c r="K744" s="191" t="s">
        <v>10</v>
      </c>
    </row>
    <row r="745" spans="3:11">
      <c r="C745" s="159"/>
      <c r="D745" s="140"/>
      <c r="E745" s="134"/>
      <c r="F745" s="134"/>
      <c r="G745" s="134"/>
      <c r="H745" s="134"/>
      <c r="I745" s="134"/>
      <c r="J745" s="134"/>
      <c r="K745" s="122"/>
    </row>
    <row r="746" spans="3:11">
      <c r="C746" s="159"/>
      <c r="D746" s="130" t="s">
        <v>402</v>
      </c>
      <c r="E746" s="134">
        <v>2</v>
      </c>
      <c r="F746" s="134">
        <v>8</v>
      </c>
      <c r="G746" s="219" t="s">
        <v>401</v>
      </c>
      <c r="H746" s="134">
        <v>1.296</v>
      </c>
      <c r="J746" s="134">
        <f>+PRODUCT(E746:H746)</f>
        <v>20.736000000000001</v>
      </c>
      <c r="K746" s="123"/>
    </row>
    <row r="747" spans="3:11">
      <c r="C747" s="159"/>
      <c r="D747" s="130" t="s">
        <v>575</v>
      </c>
      <c r="E747" s="134">
        <v>2</v>
      </c>
      <c r="F747" s="134">
        <v>2</v>
      </c>
      <c r="G747" s="134">
        <f>G673</f>
        <v>14.600099999999999</v>
      </c>
      <c r="H747" s="134"/>
      <c r="I747" s="134">
        <v>1.2</v>
      </c>
      <c r="J747" s="134">
        <f>+PRODUCT(E747:I747)</f>
        <v>70.080479999999994</v>
      </c>
      <c r="K747" s="123"/>
    </row>
    <row r="748" spans="3:11">
      <c r="C748" s="159"/>
      <c r="D748" s="130" t="s">
        <v>576</v>
      </c>
      <c r="E748" s="134">
        <v>2</v>
      </c>
      <c r="F748" s="134">
        <v>2</v>
      </c>
      <c r="G748" s="134">
        <f>G674</f>
        <v>14.1501</v>
      </c>
      <c r="H748" s="134"/>
      <c r="I748" s="134">
        <v>1.2</v>
      </c>
      <c r="J748" s="134">
        <f>+PRODUCT(E748:I748)</f>
        <v>67.920479999999998</v>
      </c>
      <c r="K748" s="122"/>
    </row>
    <row r="749" spans="3:11">
      <c r="C749" s="159"/>
      <c r="D749" s="130" t="s">
        <v>577</v>
      </c>
      <c r="E749" s="134">
        <v>2</v>
      </c>
      <c r="F749" s="134">
        <v>2</v>
      </c>
      <c r="G749" s="134">
        <f>G675</f>
        <v>14.600099999999999</v>
      </c>
      <c r="H749" s="134"/>
      <c r="I749" s="134">
        <v>1.2</v>
      </c>
      <c r="J749" s="134">
        <f>+PRODUCT(E749:I749)</f>
        <v>70.080479999999994</v>
      </c>
      <c r="K749" s="122"/>
    </row>
    <row r="750" spans="3:11">
      <c r="C750" s="159"/>
      <c r="D750" s="130" t="s">
        <v>578</v>
      </c>
      <c r="E750" s="134">
        <v>2</v>
      </c>
      <c r="F750" s="134">
        <v>2</v>
      </c>
      <c r="G750" s="134">
        <f>G676</f>
        <v>14.1501</v>
      </c>
      <c r="H750" s="134"/>
      <c r="I750" s="134">
        <v>1.2</v>
      </c>
      <c r="J750" s="134">
        <f>+PRODUCT(E750:I750)</f>
        <v>67.920479999999998</v>
      </c>
      <c r="K750" s="122"/>
    </row>
    <row r="751" spans="3:11">
      <c r="C751" s="159"/>
      <c r="D751" s="130"/>
      <c r="E751" s="134"/>
      <c r="F751" s="134"/>
      <c r="G751" s="134"/>
      <c r="H751" s="134"/>
      <c r="I751" s="134"/>
      <c r="J751" s="134"/>
      <c r="K751" s="122"/>
    </row>
    <row r="752" spans="3:11">
      <c r="C752" s="159"/>
      <c r="D752" s="245" t="str">
        <f>+CONCATENATE("TOTAL DE ",D740)</f>
        <v>TOTAL DE ENCOFRADO Y DESENCOFRADO TRIBUNAS</v>
      </c>
      <c r="E752" s="270"/>
      <c r="F752" s="270"/>
      <c r="G752" s="270"/>
      <c r="H752" s="270"/>
      <c r="I752" s="270"/>
      <c r="J752" s="241">
        <f>+SUM(J742:J750)</f>
        <v>296.73792000000003</v>
      </c>
      <c r="K752" s="271" t="str">
        <f>+K744</f>
        <v>M2</v>
      </c>
    </row>
    <row r="753" spans="3:11">
      <c r="C753" s="159"/>
      <c r="E753" s="132"/>
      <c r="F753" s="132"/>
      <c r="G753" s="132"/>
      <c r="H753" s="132"/>
      <c r="I753" s="132"/>
      <c r="J753" s="132"/>
      <c r="K753" s="120"/>
    </row>
    <row r="754" spans="3:11">
      <c r="C754" s="159">
        <f>C740+0.0001</f>
        <v>6.0301999999999989</v>
      </c>
      <c r="D754" s="259" t="str">
        <f>RESUMEN!D98</f>
        <v>CONCRETO CICLOPEO PARA CIMENTACIONES  1:10 +30% P.G</v>
      </c>
      <c r="E754" s="132"/>
      <c r="F754" s="132"/>
      <c r="G754" s="132"/>
      <c r="H754" s="132"/>
      <c r="I754" s="132"/>
      <c r="J754" s="132"/>
      <c r="K754" s="120"/>
    </row>
    <row r="755" spans="3:11" ht="14.4" thickBot="1">
      <c r="C755" s="159"/>
      <c r="D755" s="118" t="s">
        <v>19</v>
      </c>
      <c r="E755" s="115" t="s">
        <v>13</v>
      </c>
      <c r="F755" s="116" t="s">
        <v>4</v>
      </c>
      <c r="G755" s="116" t="s">
        <v>5</v>
      </c>
      <c r="H755" s="116" t="s">
        <v>6</v>
      </c>
      <c r="I755" s="116" t="s">
        <v>11</v>
      </c>
      <c r="J755" s="116" t="s">
        <v>7</v>
      </c>
      <c r="K755" s="115" t="s">
        <v>3</v>
      </c>
    </row>
    <row r="756" spans="3:11" ht="14.4" thickTop="1">
      <c r="C756" s="159"/>
      <c r="D756" s="312" t="s">
        <v>403</v>
      </c>
      <c r="E756" s="134"/>
      <c r="F756" s="134"/>
      <c r="G756" s="134"/>
      <c r="H756" s="134"/>
      <c r="I756" s="134"/>
      <c r="J756" s="134"/>
      <c r="K756" s="122"/>
    </row>
    <row r="757" spans="3:11">
      <c r="C757" s="159"/>
      <c r="D757" s="312"/>
      <c r="E757" s="134"/>
      <c r="F757" s="134"/>
      <c r="G757" s="134"/>
      <c r="H757" s="134"/>
      <c r="I757" s="134"/>
      <c r="J757" s="134"/>
      <c r="K757" s="129"/>
    </row>
    <row r="758" spans="3:11">
      <c r="C758" s="159"/>
      <c r="D758" s="312"/>
      <c r="E758" s="134"/>
      <c r="F758" s="134"/>
      <c r="G758" s="134"/>
      <c r="H758" s="134"/>
      <c r="I758" s="134"/>
      <c r="J758" s="134"/>
      <c r="K758" s="122"/>
    </row>
    <row r="759" spans="3:11">
      <c r="C759" s="159"/>
      <c r="D759" s="183" t="s">
        <v>391</v>
      </c>
      <c r="F759" s="134"/>
      <c r="G759" s="134"/>
      <c r="H759" s="134"/>
      <c r="I759" s="134"/>
      <c r="J759" s="134"/>
      <c r="K759" s="134" t="s">
        <v>12</v>
      </c>
    </row>
    <row r="760" spans="3:11">
      <c r="C760" s="159"/>
      <c r="D760" s="130" t="s">
        <v>590</v>
      </c>
      <c r="E760" s="134">
        <v>1</v>
      </c>
      <c r="F760" s="134">
        <v>1</v>
      </c>
      <c r="G760" s="134">
        <f>G673</f>
        <v>14.600099999999999</v>
      </c>
      <c r="H760" s="219" t="s">
        <v>589</v>
      </c>
      <c r="I760" s="134">
        <v>1.8360000000000001</v>
      </c>
      <c r="J760" s="134">
        <f>+PRODUCT(E760:I760)</f>
        <v>26.805783600000002</v>
      </c>
      <c r="K760" s="123"/>
    </row>
    <row r="761" spans="3:11">
      <c r="C761" s="159"/>
      <c r="D761" s="202" t="s">
        <v>591</v>
      </c>
      <c r="E761" s="134">
        <v>1</v>
      </c>
      <c r="F761" s="132">
        <v>1</v>
      </c>
      <c r="G761" s="134">
        <f>G674</f>
        <v>14.1501</v>
      </c>
      <c r="H761" s="219" t="s">
        <v>589</v>
      </c>
      <c r="I761" s="134">
        <v>1.8360000000000001</v>
      </c>
      <c r="J761" s="134">
        <f>+PRODUCT(E761:I761)</f>
        <v>25.979583600000002</v>
      </c>
      <c r="K761" s="123"/>
    </row>
    <row r="762" spans="3:11">
      <c r="C762" s="159"/>
      <c r="D762" s="130" t="s">
        <v>592</v>
      </c>
      <c r="E762" s="134">
        <v>1</v>
      </c>
      <c r="F762" s="134">
        <v>1</v>
      </c>
      <c r="G762" s="134">
        <f>G675</f>
        <v>14.600099999999999</v>
      </c>
      <c r="H762" s="219" t="s">
        <v>589</v>
      </c>
      <c r="I762" s="134">
        <v>1.8360000000000001</v>
      </c>
      <c r="J762" s="134">
        <f t="shared" ref="J762:J763" si="23">+PRODUCT(E762:I762)</f>
        <v>26.805783600000002</v>
      </c>
      <c r="K762" s="123"/>
    </row>
    <row r="763" spans="3:11">
      <c r="C763" s="159"/>
      <c r="D763" s="130" t="s">
        <v>592</v>
      </c>
      <c r="E763" s="134">
        <v>1</v>
      </c>
      <c r="F763" s="132">
        <v>1</v>
      </c>
      <c r="G763" s="134">
        <f>G676</f>
        <v>14.1501</v>
      </c>
      <c r="H763" s="219" t="s">
        <v>589</v>
      </c>
      <c r="I763" s="134">
        <v>1.8360000000000001</v>
      </c>
      <c r="J763" s="134">
        <f t="shared" si="23"/>
        <v>25.979583600000002</v>
      </c>
      <c r="K763" s="123"/>
    </row>
    <row r="764" spans="3:11">
      <c r="C764" s="159"/>
      <c r="D764" s="130"/>
      <c r="E764" s="134"/>
      <c r="F764" s="132"/>
      <c r="G764" s="134"/>
      <c r="H764" s="132"/>
      <c r="I764" s="134"/>
      <c r="J764" s="134"/>
      <c r="K764" s="123"/>
    </row>
    <row r="765" spans="3:11">
      <c r="C765" s="159"/>
      <c r="D765" s="245" t="str">
        <f>+CONCATENATE("TOTAL DE ",D754)</f>
        <v>TOTAL DE CONCRETO CICLOPEO PARA CIMENTACIONES  1:10 +30% P.G</v>
      </c>
      <c r="E765" s="270"/>
      <c r="F765" s="270"/>
      <c r="G765" s="270"/>
      <c r="H765" s="270"/>
      <c r="I765" s="236"/>
      <c r="J765" s="241">
        <f>+SUM(J760:J763)</f>
        <v>105.57073440000001</v>
      </c>
      <c r="K765" s="246" t="str">
        <f>+K759</f>
        <v>M3</v>
      </c>
    </row>
    <row r="766" spans="3:11">
      <c r="C766" s="159"/>
      <c r="E766" s="132"/>
      <c r="F766" s="132"/>
      <c r="G766" s="132"/>
      <c r="H766" s="132"/>
      <c r="I766" s="229"/>
      <c r="J766" s="132"/>
      <c r="K766" s="120"/>
    </row>
    <row r="767" spans="3:11">
      <c r="C767" s="159">
        <f>C754+0.0001</f>
        <v>6.0302999999999987</v>
      </c>
      <c r="D767" s="258" t="str">
        <f>RESUMEN!D99</f>
        <v>CURADO DE CONCRETO CON ADITIVO</v>
      </c>
      <c r="E767" s="132"/>
      <c r="F767" s="132"/>
      <c r="G767" s="132"/>
      <c r="H767" s="132"/>
      <c r="I767" s="132"/>
      <c r="J767" s="132"/>
      <c r="K767" s="120"/>
    </row>
    <row r="768" spans="3:11" ht="14.4" thickBot="1">
      <c r="C768" s="159"/>
      <c r="D768" s="115" t="s">
        <v>19</v>
      </c>
      <c r="E768" s="115" t="s">
        <v>13</v>
      </c>
      <c r="F768" s="116" t="s">
        <v>4</v>
      </c>
      <c r="G768" s="116" t="s">
        <v>5</v>
      </c>
      <c r="H768" s="116" t="s">
        <v>6</v>
      </c>
      <c r="I768" s="116" t="s">
        <v>11</v>
      </c>
      <c r="J768" s="116" t="s">
        <v>7</v>
      </c>
      <c r="K768" s="115" t="s">
        <v>3</v>
      </c>
    </row>
    <row r="769" spans="3:11" ht="14.4" thickTop="1">
      <c r="C769" s="159"/>
      <c r="D769" s="311" t="s">
        <v>26</v>
      </c>
      <c r="E769" s="134"/>
      <c r="F769" s="134"/>
      <c r="G769" s="134"/>
      <c r="H769" s="134"/>
      <c r="I769" s="134"/>
      <c r="J769" s="134"/>
      <c r="K769" s="129"/>
    </row>
    <row r="770" spans="3:11">
      <c r="C770" s="159"/>
      <c r="D770" s="311"/>
      <c r="E770" s="134"/>
      <c r="F770" s="134"/>
      <c r="G770" s="134"/>
      <c r="H770" s="134"/>
      <c r="I770" s="134"/>
      <c r="J770" s="148"/>
      <c r="K770" s="122"/>
    </row>
    <row r="771" spans="3:11">
      <c r="C771" s="159"/>
      <c r="D771" s="202" t="s">
        <v>402</v>
      </c>
      <c r="E771" s="134">
        <v>1</v>
      </c>
      <c r="F771" s="134">
        <v>8</v>
      </c>
      <c r="G771" s="134" t="s">
        <v>14</v>
      </c>
      <c r="H771" s="134">
        <f>H746</f>
        <v>1.296</v>
      </c>
      <c r="I771" s="134"/>
      <c r="J771" s="134">
        <f>+PRODUCT(E771:I771)</f>
        <v>10.368</v>
      </c>
      <c r="K771" s="123" t="s">
        <v>10</v>
      </c>
    </row>
    <row r="772" spans="3:11">
      <c r="C772" s="159"/>
      <c r="D772" s="130" t="s">
        <v>575</v>
      </c>
      <c r="E772" s="134">
        <v>1</v>
      </c>
      <c r="F772" s="134">
        <v>2</v>
      </c>
      <c r="G772" s="134">
        <f>G673</f>
        <v>14.600099999999999</v>
      </c>
      <c r="H772" s="134"/>
      <c r="I772" s="134">
        <v>1.2</v>
      </c>
      <c r="J772" s="134">
        <f>+PRODUCT(E772:I772)</f>
        <v>35.040239999999997</v>
      </c>
      <c r="K772" s="123"/>
    </row>
    <row r="773" spans="3:11">
      <c r="C773" s="159"/>
      <c r="D773" s="130" t="s">
        <v>576</v>
      </c>
      <c r="E773" s="134">
        <v>1</v>
      </c>
      <c r="F773" s="134">
        <v>2</v>
      </c>
      <c r="G773" s="134">
        <f>G674</f>
        <v>14.1501</v>
      </c>
      <c r="H773" s="134"/>
      <c r="I773" s="134">
        <v>1.2</v>
      </c>
      <c r="J773" s="134">
        <f>+PRODUCT(E773:I773)</f>
        <v>33.960239999999999</v>
      </c>
      <c r="K773" s="123"/>
    </row>
    <row r="774" spans="3:11">
      <c r="C774" s="159"/>
      <c r="D774" s="130" t="s">
        <v>577</v>
      </c>
      <c r="E774" s="134">
        <v>1</v>
      </c>
      <c r="F774" s="134">
        <v>2</v>
      </c>
      <c r="G774" s="134">
        <f>G675</f>
        <v>14.600099999999999</v>
      </c>
      <c r="H774" s="134"/>
      <c r="I774" s="134">
        <v>1.2</v>
      </c>
      <c r="J774" s="134">
        <f>+PRODUCT(E774:I774)</f>
        <v>35.040239999999997</v>
      </c>
      <c r="K774" s="122"/>
    </row>
    <row r="775" spans="3:11">
      <c r="C775" s="159"/>
      <c r="D775" s="130" t="s">
        <v>578</v>
      </c>
      <c r="E775" s="134">
        <v>1</v>
      </c>
      <c r="F775" s="134">
        <v>2</v>
      </c>
      <c r="G775" s="134">
        <f>G676</f>
        <v>14.1501</v>
      </c>
      <c r="H775" s="134"/>
      <c r="I775" s="134">
        <v>1.2</v>
      </c>
      <c r="J775" s="134">
        <f>+PRODUCT(E775:I775)</f>
        <v>33.960239999999999</v>
      </c>
      <c r="K775" s="122"/>
    </row>
    <row r="776" spans="3:11">
      <c r="C776" s="159"/>
      <c r="D776" s="245" t="str">
        <f>+CONCATENATE("TOTAL DE ",D767)</f>
        <v>TOTAL DE CURADO DE CONCRETO CON ADITIVO</v>
      </c>
      <c r="E776" s="270"/>
      <c r="F776" s="270"/>
      <c r="G776" s="270"/>
      <c r="H776" s="270"/>
      <c r="I776" s="270"/>
      <c r="J776" s="241">
        <f>+SUM(J769:J775)</f>
        <v>148.36896000000002</v>
      </c>
      <c r="K776" s="271" t="str">
        <f>+K771</f>
        <v>M2</v>
      </c>
    </row>
    <row r="777" spans="3:11">
      <c r="C777" s="159"/>
      <c r="D777" s="221"/>
      <c r="E777" s="278"/>
      <c r="F777" s="278"/>
      <c r="G777" s="278"/>
      <c r="H777" s="278"/>
      <c r="I777" s="278"/>
      <c r="J777" s="278"/>
      <c r="K777" s="292"/>
    </row>
    <row r="778" spans="3:11">
      <c r="C778" s="158">
        <f>C739+0.01</f>
        <v>6.0399999999999991</v>
      </c>
      <c r="D778" s="257" t="str">
        <f>RESUMEN!D100</f>
        <v>ARQUITECTURA Y ACABADOS</v>
      </c>
      <c r="E778" s="278"/>
      <c r="F778" s="278"/>
      <c r="G778" s="278"/>
      <c r="H778" s="278"/>
      <c r="I778" s="278"/>
      <c r="J778" s="278"/>
      <c r="K778" s="292"/>
    </row>
    <row r="779" spans="3:11">
      <c r="C779" s="159">
        <f>C778+0.0001</f>
        <v>6.0400999999999989</v>
      </c>
      <c r="D779" s="258" t="str">
        <f>RESUMEN!D116</f>
        <v>TARRAJEO FROTACHADO CON MEZCLA 1:5</v>
      </c>
      <c r="E779" s="132"/>
      <c r="F779" s="132"/>
      <c r="G779" s="132"/>
      <c r="H779" s="132"/>
      <c r="I779" s="132"/>
      <c r="J779" s="132"/>
      <c r="K779" s="120"/>
    </row>
    <row r="780" spans="3:11" ht="14.4" thickBot="1">
      <c r="C780" s="159"/>
      <c r="D780" s="115" t="s">
        <v>19</v>
      </c>
      <c r="E780" s="115" t="s">
        <v>13</v>
      </c>
      <c r="F780" s="116" t="s">
        <v>4</v>
      </c>
      <c r="G780" s="116" t="s">
        <v>5</v>
      </c>
      <c r="H780" s="116" t="s">
        <v>6</v>
      </c>
      <c r="I780" s="116" t="s">
        <v>11</v>
      </c>
      <c r="J780" s="116" t="s">
        <v>7</v>
      </c>
      <c r="K780" s="115" t="s">
        <v>3</v>
      </c>
    </row>
    <row r="781" spans="3:11" ht="14.4" thickTop="1">
      <c r="C781" s="159"/>
      <c r="D781" s="311" t="s">
        <v>26</v>
      </c>
      <c r="E781" s="134"/>
      <c r="F781" s="134"/>
      <c r="G781" s="134"/>
      <c r="H781" s="134"/>
      <c r="I781" s="134"/>
      <c r="J781" s="134"/>
      <c r="K781" s="129"/>
    </row>
    <row r="782" spans="3:11">
      <c r="C782" s="159"/>
      <c r="D782" s="311"/>
      <c r="E782" s="134"/>
      <c r="F782" s="134"/>
      <c r="G782" s="134"/>
      <c r="H782" s="134"/>
      <c r="I782" s="134"/>
      <c r="J782" s="148"/>
      <c r="K782" s="122"/>
    </row>
    <row r="783" spans="3:11">
      <c r="C783" s="159"/>
      <c r="D783" s="202" t="s">
        <v>402</v>
      </c>
      <c r="E783" s="134">
        <v>1</v>
      </c>
      <c r="F783" s="134">
        <v>8</v>
      </c>
      <c r="G783" s="134" t="s">
        <v>14</v>
      </c>
      <c r="H783" s="134">
        <f>H746</f>
        <v>1.296</v>
      </c>
      <c r="I783" s="134"/>
      <c r="J783" s="134">
        <f>+PRODUCT(E783:I783)</f>
        <v>10.368</v>
      </c>
      <c r="K783" s="123" t="s">
        <v>10</v>
      </c>
    </row>
    <row r="784" spans="3:11">
      <c r="C784" s="159"/>
      <c r="D784" s="130" t="s">
        <v>575</v>
      </c>
      <c r="E784" s="134">
        <v>1</v>
      </c>
      <c r="F784" s="134">
        <v>2</v>
      </c>
      <c r="G784" s="134">
        <v>14.6</v>
      </c>
      <c r="H784" s="134"/>
      <c r="I784" s="134">
        <v>1.2</v>
      </c>
      <c r="J784" s="134">
        <f>+PRODUCT(E784:I784)</f>
        <v>35.04</v>
      </c>
      <c r="K784" s="123"/>
    </row>
    <row r="785" spans="3:11">
      <c r="C785" s="159"/>
      <c r="D785" s="130" t="s">
        <v>576</v>
      </c>
      <c r="E785" s="134">
        <v>1</v>
      </c>
      <c r="F785" s="134">
        <v>2</v>
      </c>
      <c r="G785" s="134">
        <v>14.15</v>
      </c>
      <c r="H785" s="134"/>
      <c r="I785" s="134">
        <v>1.2</v>
      </c>
      <c r="J785" s="134">
        <f>+PRODUCT(E785:I785)</f>
        <v>33.96</v>
      </c>
      <c r="K785" s="123"/>
    </row>
    <row r="786" spans="3:11">
      <c r="C786" s="159"/>
      <c r="D786" s="130" t="s">
        <v>577</v>
      </c>
      <c r="E786" s="134">
        <v>1</v>
      </c>
      <c r="F786" s="134">
        <v>2</v>
      </c>
      <c r="G786" s="134">
        <v>14.6</v>
      </c>
      <c r="H786" s="134"/>
      <c r="I786" s="134">
        <v>1.2</v>
      </c>
      <c r="J786" s="134">
        <f>+PRODUCT(E786:I786)</f>
        <v>35.04</v>
      </c>
      <c r="K786" s="122"/>
    </row>
    <row r="787" spans="3:11">
      <c r="C787" s="159"/>
      <c r="D787" s="130" t="s">
        <v>578</v>
      </c>
      <c r="E787" s="134">
        <v>1</v>
      </c>
      <c r="F787" s="134">
        <v>2</v>
      </c>
      <c r="G787" s="134">
        <v>14.15</v>
      </c>
      <c r="H787" s="134"/>
      <c r="I787" s="134">
        <v>1.2</v>
      </c>
      <c r="J787" s="134">
        <f>+PRODUCT(E787:I787)</f>
        <v>33.96</v>
      </c>
      <c r="K787" s="122"/>
    </row>
    <row r="788" spans="3:11">
      <c r="C788" s="159"/>
      <c r="D788" s="245" t="str">
        <f>+CONCATENATE("TOTAL DE ",D779)</f>
        <v>TOTAL DE TARRAJEO FROTACHADO CON MEZCLA 1:5</v>
      </c>
      <c r="E788" s="270"/>
      <c r="F788" s="270"/>
      <c r="G788" s="270"/>
      <c r="H788" s="270"/>
      <c r="I788" s="270"/>
      <c r="J788" s="241">
        <f>+SUM(J781:J787)</f>
        <v>148.36799999999999</v>
      </c>
      <c r="K788" s="271" t="str">
        <f>+K783</f>
        <v>M2</v>
      </c>
    </row>
    <row r="789" spans="3:11">
      <c r="C789" s="159"/>
      <c r="D789" s="221"/>
      <c r="E789" s="278"/>
      <c r="F789" s="278"/>
      <c r="G789" s="278"/>
      <c r="H789" s="278"/>
      <c r="I789" s="278"/>
      <c r="J789" s="278"/>
      <c r="K789" s="292"/>
    </row>
    <row r="790" spans="3:11">
      <c r="C790" s="158">
        <f>C778+0.01</f>
        <v>6.0499999999999989</v>
      </c>
      <c r="D790" s="257" t="str">
        <f>RESUMEN!D102</f>
        <v>PINTURA</v>
      </c>
      <c r="E790" s="278"/>
      <c r="F790" s="278"/>
      <c r="G790" s="278"/>
      <c r="H790" s="278"/>
      <c r="I790" s="278"/>
      <c r="J790" s="278"/>
      <c r="K790" s="292"/>
    </row>
    <row r="791" spans="3:11">
      <c r="C791" s="159">
        <f>C767+0.0001</f>
        <v>6.0303999999999984</v>
      </c>
      <c r="D791" s="258" t="str">
        <f>RESUMEN!D103</f>
        <v>PINTADO DE CONTRAPASO H=0.40M</v>
      </c>
      <c r="E791" s="132"/>
      <c r="F791" s="132"/>
      <c r="G791" s="132"/>
      <c r="H791" s="132"/>
      <c r="I791" s="132"/>
      <c r="J791" s="132"/>
      <c r="K791" s="120"/>
    </row>
    <row r="792" spans="3:11" ht="14.4" thickBot="1">
      <c r="C792" s="159"/>
      <c r="D792" s="115" t="s">
        <v>19</v>
      </c>
      <c r="E792" s="115" t="s">
        <v>13</v>
      </c>
      <c r="F792" s="116" t="s">
        <v>4</v>
      </c>
      <c r="G792" s="116" t="s">
        <v>5</v>
      </c>
      <c r="H792" s="116" t="s">
        <v>6</v>
      </c>
      <c r="I792" s="116" t="s">
        <v>11</v>
      </c>
      <c r="J792" s="116" t="s">
        <v>7</v>
      </c>
      <c r="K792" s="115" t="s">
        <v>3</v>
      </c>
    </row>
    <row r="793" spans="3:11" ht="14.4" thickTop="1">
      <c r="C793" s="159"/>
      <c r="D793" s="311" t="s">
        <v>615</v>
      </c>
      <c r="E793" s="134"/>
      <c r="F793" s="134"/>
      <c r="G793" s="134"/>
      <c r="H793" s="134"/>
      <c r="I793" s="134"/>
      <c r="J793" s="134"/>
      <c r="K793" s="129"/>
    </row>
    <row r="794" spans="3:11">
      <c r="C794" s="159"/>
      <c r="D794" s="311"/>
      <c r="E794" s="134"/>
      <c r="F794" s="134"/>
      <c r="G794" s="134"/>
      <c r="H794" s="134"/>
      <c r="I794" s="134"/>
      <c r="J794" s="148"/>
      <c r="K794" s="122"/>
    </row>
    <row r="795" spans="3:11">
      <c r="C795" s="159"/>
      <c r="D795" s="130" t="s">
        <v>575</v>
      </c>
      <c r="E795" s="134">
        <v>1</v>
      </c>
      <c r="F795" s="134">
        <v>1</v>
      </c>
      <c r="G795" s="134">
        <f>G772</f>
        <v>14.600099999999999</v>
      </c>
      <c r="H795" s="134"/>
      <c r="I795" s="134">
        <v>1.2</v>
      </c>
      <c r="J795" s="134">
        <f>+PRODUCT(E795:I795)</f>
        <v>17.520119999999999</v>
      </c>
      <c r="K795" s="123"/>
    </row>
    <row r="796" spans="3:11">
      <c r="C796" s="159"/>
      <c r="D796" s="130" t="s">
        <v>576</v>
      </c>
      <c r="E796" s="134">
        <v>1</v>
      </c>
      <c r="F796" s="134">
        <v>1</v>
      </c>
      <c r="G796" s="134">
        <f>G773</f>
        <v>14.1501</v>
      </c>
      <c r="H796" s="134"/>
      <c r="I796" s="134">
        <v>1.2</v>
      </c>
      <c r="J796" s="134">
        <f>+PRODUCT(E796:I796)</f>
        <v>16.980119999999999</v>
      </c>
      <c r="K796" s="123"/>
    </row>
    <row r="797" spans="3:11">
      <c r="C797" s="159"/>
      <c r="D797" s="130" t="s">
        <v>577</v>
      </c>
      <c r="E797" s="134">
        <v>1</v>
      </c>
      <c r="F797" s="134">
        <v>1</v>
      </c>
      <c r="G797" s="134">
        <f>G774</f>
        <v>14.600099999999999</v>
      </c>
      <c r="H797" s="134"/>
      <c r="I797" s="134">
        <v>1.2</v>
      </c>
      <c r="J797" s="134">
        <f>+PRODUCT(E797:I797)</f>
        <v>17.520119999999999</v>
      </c>
      <c r="K797" s="122"/>
    </row>
    <row r="798" spans="3:11">
      <c r="C798" s="159"/>
      <c r="D798" s="130" t="s">
        <v>578</v>
      </c>
      <c r="E798" s="134">
        <v>1</v>
      </c>
      <c r="F798" s="134">
        <v>1</v>
      </c>
      <c r="G798" s="134">
        <f>G775</f>
        <v>14.1501</v>
      </c>
      <c r="H798" s="134"/>
      <c r="I798" s="134">
        <v>1.2</v>
      </c>
      <c r="J798" s="134">
        <f>+PRODUCT(E798:I798)</f>
        <v>16.980119999999999</v>
      </c>
      <c r="K798" s="122"/>
    </row>
    <row r="799" spans="3:11">
      <c r="C799" s="159"/>
      <c r="D799" s="121"/>
      <c r="E799" s="135"/>
      <c r="F799" s="135"/>
      <c r="G799" s="135"/>
      <c r="H799" s="135"/>
      <c r="I799" s="135"/>
      <c r="J799" s="125"/>
      <c r="K799" s="121"/>
    </row>
    <row r="800" spans="3:11">
      <c r="C800" s="159"/>
      <c r="D800" s="245" t="str">
        <f>+CONCATENATE("TOTAL DE ",D791)</f>
        <v>TOTAL DE PINTADO DE CONTRAPASO H=0.40M</v>
      </c>
      <c r="E800" s="270"/>
      <c r="F800" s="270"/>
      <c r="G800" s="270"/>
      <c r="H800" s="270"/>
      <c r="I800" s="270"/>
      <c r="J800" s="241">
        <f>+SUM(J793:J798)</f>
        <v>69.000479999999996</v>
      </c>
      <c r="K800" s="271" t="s">
        <v>10</v>
      </c>
    </row>
    <row r="801" spans="3:11">
      <c r="C801" s="159"/>
      <c r="E801" s="132"/>
      <c r="F801" s="132"/>
      <c r="G801" s="132"/>
      <c r="H801" s="132"/>
      <c r="I801" s="132"/>
      <c r="J801" s="132"/>
      <c r="K801" s="120"/>
    </row>
    <row r="802" spans="3:11">
      <c r="C802" s="157">
        <v>7</v>
      </c>
      <c r="D802" s="256" t="str">
        <f>RESUMEN!D104</f>
        <v>BANCAS DE CONCRETO</v>
      </c>
      <c r="E802" s="132"/>
      <c r="F802" s="132"/>
      <c r="G802" s="132"/>
      <c r="H802" s="132"/>
      <c r="I802" s="132"/>
      <c r="J802" s="132"/>
      <c r="K802" s="120"/>
    </row>
    <row r="803" spans="3:11">
      <c r="C803" s="158">
        <f>C802+0.01</f>
        <v>7.01</v>
      </c>
      <c r="D803" s="257" t="str">
        <f>RESUMEN!D105</f>
        <v>TRABAJOS PRELIMINARES</v>
      </c>
      <c r="E803" s="132"/>
      <c r="F803" s="132"/>
      <c r="G803" s="132"/>
      <c r="H803" s="132"/>
      <c r="I803" s="132"/>
      <c r="J803" s="132"/>
      <c r="K803" s="120"/>
    </row>
    <row r="804" spans="3:11">
      <c r="C804" s="159">
        <f>+C803+0.0001</f>
        <v>7.0100999999999996</v>
      </c>
      <c r="D804" s="259" t="str">
        <f>RESUMEN!D106</f>
        <v>TRAZO Y REPLANTEO C/ EQUIPO</v>
      </c>
      <c r="E804" s="132"/>
      <c r="F804" s="132"/>
      <c r="G804" s="132"/>
      <c r="H804" s="132"/>
      <c r="I804" s="132"/>
      <c r="J804" s="132"/>
      <c r="K804" s="120"/>
    </row>
    <row r="805" spans="3:11" ht="14.4" thickBot="1">
      <c r="C805" s="159"/>
      <c r="D805" s="115" t="s">
        <v>19</v>
      </c>
      <c r="E805" s="115" t="s">
        <v>13</v>
      </c>
      <c r="F805" s="116" t="s">
        <v>4</v>
      </c>
      <c r="G805" s="116" t="s">
        <v>5</v>
      </c>
      <c r="H805" s="116" t="s">
        <v>6</v>
      </c>
      <c r="I805" s="116" t="s">
        <v>32</v>
      </c>
      <c r="J805" s="116" t="s">
        <v>7</v>
      </c>
      <c r="K805" s="115" t="s">
        <v>3</v>
      </c>
    </row>
    <row r="806" spans="3:11" ht="14.4" thickTop="1">
      <c r="C806" s="159"/>
      <c r="D806" s="121"/>
      <c r="E806" s="134"/>
      <c r="F806" s="134"/>
      <c r="G806" s="134"/>
      <c r="H806" s="134"/>
      <c r="I806" s="134"/>
      <c r="J806" s="134"/>
      <c r="K806" s="122"/>
    </row>
    <row r="807" spans="3:11" ht="13.8" customHeight="1">
      <c r="C807" s="159"/>
      <c r="D807" s="312" t="s">
        <v>390</v>
      </c>
      <c r="E807" s="134"/>
      <c r="F807" s="134"/>
      <c r="G807" s="134"/>
      <c r="H807" s="134"/>
      <c r="I807" s="134"/>
      <c r="J807" s="134"/>
      <c r="K807" s="122"/>
    </row>
    <row r="808" spans="3:11" ht="13.8" customHeight="1">
      <c r="C808" s="159"/>
      <c r="D808" s="312"/>
      <c r="E808" s="134"/>
      <c r="F808" s="134"/>
      <c r="G808" s="134"/>
      <c r="H808" s="134"/>
      <c r="I808" s="134"/>
      <c r="J808" s="134"/>
      <c r="K808" s="129"/>
    </row>
    <row r="809" spans="3:11">
      <c r="C809" s="159"/>
      <c r="D809" s="184" t="s">
        <v>389</v>
      </c>
      <c r="E809" s="134"/>
      <c r="F809" s="134"/>
      <c r="G809" s="134"/>
      <c r="H809" s="134"/>
      <c r="I809" s="134"/>
      <c r="J809" s="134"/>
      <c r="K809" s="123" t="s">
        <v>12</v>
      </c>
    </row>
    <row r="810" spans="3:11">
      <c r="C810" s="159"/>
      <c r="D810" s="164"/>
      <c r="E810" s="134"/>
      <c r="F810" s="134"/>
      <c r="G810" s="134"/>
      <c r="H810" s="134"/>
      <c r="I810" s="134"/>
      <c r="J810" s="134"/>
      <c r="K810" s="123"/>
    </row>
    <row r="811" spans="3:11">
      <c r="C811" s="159"/>
      <c r="D811" s="130" t="s">
        <v>655</v>
      </c>
      <c r="E811" s="134">
        <v>1</v>
      </c>
      <c r="F811" s="134">
        <v>1</v>
      </c>
      <c r="G811" s="134" t="s">
        <v>356</v>
      </c>
      <c r="H811" s="194">
        <v>8</v>
      </c>
      <c r="I811" s="134"/>
      <c r="J811" s="134">
        <f>+PRODUCT(E811:I811)</f>
        <v>8</v>
      </c>
      <c r="K811" s="123"/>
    </row>
    <row r="812" spans="3:11">
      <c r="C812" s="159"/>
      <c r="D812" s="133"/>
      <c r="E812" s="134"/>
      <c r="F812" s="134"/>
      <c r="G812" s="134"/>
      <c r="H812" s="134"/>
      <c r="I812" s="134"/>
      <c r="J812" s="134"/>
      <c r="K812" s="122"/>
    </row>
    <row r="813" spans="3:11" ht="18.600000000000001" customHeight="1">
      <c r="C813" s="159"/>
      <c r="D813" s="245" t="s">
        <v>656</v>
      </c>
      <c r="E813" s="270"/>
      <c r="F813" s="270"/>
      <c r="G813" s="270"/>
      <c r="H813" s="270"/>
      <c r="I813" s="270"/>
      <c r="J813" s="291">
        <f>+SUM(J806:J812)</f>
        <v>8</v>
      </c>
      <c r="K813" s="271" t="str">
        <f>+K809</f>
        <v>M3</v>
      </c>
    </row>
    <row r="814" spans="3:11" ht="18.600000000000001" customHeight="1">
      <c r="C814" s="159"/>
      <c r="D814" s="221"/>
      <c r="E814" s="278"/>
      <c r="F814" s="278"/>
      <c r="G814" s="278"/>
      <c r="H814" s="278"/>
      <c r="I814" s="278"/>
      <c r="J814" s="296"/>
      <c r="K814" s="292"/>
    </row>
    <row r="815" spans="3:11">
      <c r="C815" s="158">
        <f>C803+0.01</f>
        <v>7.02</v>
      </c>
      <c r="D815" s="182" t="str">
        <f>RESUMEN!D107</f>
        <v>MOVIMIENTO DE TIERRAS</v>
      </c>
      <c r="E815" s="132"/>
      <c r="F815" s="132"/>
      <c r="G815" s="132"/>
      <c r="H815" s="132"/>
      <c r="I815" s="132"/>
      <c r="J815" s="132"/>
      <c r="K815" s="120"/>
    </row>
    <row r="816" spans="3:11">
      <c r="C816" s="159">
        <f>+C815+0.0001</f>
        <v>7.0200999999999993</v>
      </c>
      <c r="D816" s="258" t="str">
        <f>RESUMEN!D108</f>
        <v>EXCAVACION A MANO EN TERRENO NORMAL</v>
      </c>
      <c r="E816" s="132"/>
      <c r="F816" s="132"/>
      <c r="G816" s="132"/>
      <c r="H816" s="132"/>
      <c r="I816" s="132"/>
      <c r="J816" s="132"/>
      <c r="K816" s="120"/>
    </row>
    <row r="817" spans="3:11" ht="14.4" thickBot="1">
      <c r="C817" s="159"/>
      <c r="D817" s="115" t="s">
        <v>19</v>
      </c>
      <c r="E817" s="115" t="s">
        <v>13</v>
      </c>
      <c r="F817" s="116" t="s">
        <v>4</v>
      </c>
      <c r="G817" s="116" t="s">
        <v>5</v>
      </c>
      <c r="H817" s="116" t="s">
        <v>6</v>
      </c>
      <c r="I817" s="116" t="s">
        <v>11</v>
      </c>
      <c r="J817" s="116" t="s">
        <v>7</v>
      </c>
      <c r="K817" s="115" t="s">
        <v>3</v>
      </c>
    </row>
    <row r="818" spans="3:11" ht="14.4" thickTop="1">
      <c r="C818" s="159"/>
      <c r="D818" s="312" t="s">
        <v>449</v>
      </c>
      <c r="E818" s="134"/>
      <c r="F818" s="134"/>
      <c r="G818" s="134"/>
      <c r="H818" s="134"/>
      <c r="I818" s="134"/>
      <c r="J818" s="134"/>
      <c r="K818" s="122"/>
    </row>
    <row r="819" spans="3:11">
      <c r="C819" s="159"/>
      <c r="D819" s="312"/>
      <c r="E819" s="134"/>
      <c r="F819" s="134"/>
      <c r="G819" s="134"/>
      <c r="H819" s="134"/>
      <c r="I819" s="134"/>
      <c r="J819" s="134"/>
      <c r="K819" s="129"/>
    </row>
    <row r="820" spans="3:11" ht="14.4" customHeight="1">
      <c r="C820" s="159"/>
      <c r="D820" s="184" t="s">
        <v>655</v>
      </c>
      <c r="E820" s="134"/>
      <c r="F820" s="134"/>
      <c r="G820" s="134"/>
      <c r="H820" s="134"/>
      <c r="I820" s="134"/>
      <c r="J820" s="134"/>
      <c r="K820" s="191" t="s">
        <v>12</v>
      </c>
    </row>
    <row r="821" spans="3:11">
      <c r="C821" s="159"/>
      <c r="D821" s="140"/>
      <c r="E821" s="134"/>
      <c r="F821" s="134"/>
      <c r="G821" s="134"/>
      <c r="H821" s="134"/>
      <c r="I821" s="134"/>
      <c r="J821" s="134"/>
      <c r="K821" s="122"/>
    </row>
    <row r="822" spans="3:11" ht="14.4" customHeight="1">
      <c r="C822" s="159"/>
      <c r="D822" s="130" t="s">
        <v>657</v>
      </c>
      <c r="E822" s="134">
        <v>1</v>
      </c>
      <c r="F822" s="134"/>
      <c r="G822" s="134"/>
      <c r="H822" s="194">
        <v>3.218</v>
      </c>
      <c r="I822" s="134"/>
      <c r="J822" s="134">
        <f>+PRODUCT(E822:I822)</f>
        <v>3.218</v>
      </c>
      <c r="K822" s="123"/>
    </row>
    <row r="823" spans="3:11">
      <c r="C823" s="159"/>
      <c r="D823" s="130"/>
      <c r="E823" s="134"/>
      <c r="F823" s="134"/>
      <c r="G823" s="134"/>
      <c r="H823" s="134"/>
      <c r="I823" s="134"/>
      <c r="J823" s="134"/>
      <c r="K823" s="122"/>
    </row>
    <row r="824" spans="3:11">
      <c r="C824" s="159"/>
      <c r="D824" s="245" t="str">
        <f>+CONCATENATE("TOTAL DE ",D816)</f>
        <v>TOTAL DE EXCAVACION A MANO EN TERRENO NORMAL</v>
      </c>
      <c r="E824" s="270"/>
      <c r="F824" s="270"/>
      <c r="G824" s="270"/>
      <c r="H824" s="270"/>
      <c r="I824" s="270"/>
      <c r="J824" s="241">
        <f>+SUM(J818:J823)</f>
        <v>3.218</v>
      </c>
      <c r="K824" s="271" t="str">
        <f>+K820</f>
        <v>M3</v>
      </c>
    </row>
    <row r="825" spans="3:11">
      <c r="C825" s="159"/>
      <c r="D825" s="221"/>
      <c r="E825" s="278"/>
      <c r="F825" s="278"/>
      <c r="G825" s="278"/>
      <c r="H825" s="278"/>
      <c r="I825" s="278"/>
      <c r="J825" s="278"/>
      <c r="K825" s="292"/>
    </row>
    <row r="826" spans="3:11">
      <c r="C826" s="159">
        <f>C804+0.0001</f>
        <v>7.0101999999999993</v>
      </c>
      <c r="D826" s="259" t="str">
        <f>RESUMEN!D109</f>
        <v xml:space="preserve">ELIMINACIÓN DE MATERIAL EXCEDENTE C/VOLQUETE DE 15M3 D= 25KM </v>
      </c>
      <c r="E826" s="132"/>
      <c r="F826" s="132"/>
      <c r="G826" s="132"/>
      <c r="H826" s="132"/>
      <c r="I826" s="114"/>
      <c r="J826" s="132"/>
      <c r="K826" s="120"/>
    </row>
    <row r="827" spans="3:11" ht="14.4" thickBot="1">
      <c r="C827" s="159"/>
      <c r="D827" s="115" t="s">
        <v>19</v>
      </c>
      <c r="E827" s="115" t="s">
        <v>13</v>
      </c>
      <c r="F827" s="116" t="s">
        <v>4</v>
      </c>
      <c r="G827" s="116" t="s">
        <v>5</v>
      </c>
      <c r="H827" s="116" t="s">
        <v>6</v>
      </c>
      <c r="I827" s="116" t="s">
        <v>11</v>
      </c>
      <c r="J827" s="116" t="s">
        <v>7</v>
      </c>
      <c r="K827" s="115" t="s">
        <v>3</v>
      </c>
    </row>
    <row r="828" spans="3:11" ht="14.4" thickTop="1">
      <c r="C828" s="159"/>
      <c r="D828" s="328" t="s">
        <v>24</v>
      </c>
      <c r="E828" s="134"/>
      <c r="F828" s="134"/>
      <c r="G828" s="134"/>
      <c r="H828" s="134"/>
      <c r="I828" s="134"/>
      <c r="J828" s="134"/>
      <c r="K828" s="122"/>
    </row>
    <row r="829" spans="3:11">
      <c r="C829" s="159"/>
      <c r="D829" s="311"/>
      <c r="E829" s="134"/>
      <c r="F829" s="134"/>
      <c r="G829" s="134"/>
      <c r="H829" s="134"/>
      <c r="I829" s="134"/>
      <c r="J829" s="134"/>
      <c r="K829" s="129"/>
    </row>
    <row r="830" spans="3:11">
      <c r="C830" s="159"/>
      <c r="D830" s="311"/>
      <c r="E830" s="134"/>
      <c r="F830" s="134"/>
      <c r="G830" s="134"/>
      <c r="H830" s="134"/>
      <c r="I830" s="134"/>
      <c r="J830" s="148"/>
      <c r="K830" s="122"/>
    </row>
    <row r="831" spans="3:11">
      <c r="C831" s="159"/>
      <c r="D831" s="133" t="s">
        <v>560</v>
      </c>
      <c r="E831" s="134">
        <v>1.25</v>
      </c>
      <c r="F831" s="134">
        <v>1</v>
      </c>
      <c r="G831" s="134" t="s">
        <v>15</v>
      </c>
      <c r="H831" s="134">
        <f>J824</f>
        <v>3.218</v>
      </c>
      <c r="I831" s="134"/>
      <c r="J831" s="134">
        <f>+PRODUCT(E831:I831)</f>
        <v>4.0225</v>
      </c>
      <c r="K831" s="123" t="s">
        <v>12</v>
      </c>
    </row>
    <row r="832" spans="3:11">
      <c r="C832" s="159"/>
      <c r="D832" s="133"/>
      <c r="E832" s="134"/>
      <c r="F832" s="134"/>
      <c r="G832" s="134"/>
      <c r="H832" s="134"/>
      <c r="I832" s="134"/>
      <c r="J832" s="134"/>
      <c r="K832" s="123"/>
    </row>
    <row r="833" spans="3:11" ht="27.6">
      <c r="C833" s="159"/>
      <c r="D833" s="289" t="str">
        <f>+CONCATENATE("TOTAL DE ",D826)</f>
        <v xml:space="preserve">TOTAL DE ELIMINACIÓN DE MATERIAL EXCEDENTE C/VOLQUETE DE 15M3 D= 25KM </v>
      </c>
      <c r="E833" s="270"/>
      <c r="F833" s="270"/>
      <c r="G833" s="270"/>
      <c r="H833" s="270"/>
      <c r="I833" s="270"/>
      <c r="J833" s="241">
        <f>+SUM(J828:J832)</f>
        <v>4.0225</v>
      </c>
      <c r="K833" s="271" t="str">
        <f>+K831</f>
        <v>M3</v>
      </c>
    </row>
    <row r="834" spans="3:11">
      <c r="C834" s="158"/>
      <c r="D834" s="182"/>
      <c r="E834" s="132"/>
      <c r="F834" s="132"/>
      <c r="G834" s="132"/>
      <c r="H834" s="132"/>
      <c r="I834" s="132"/>
      <c r="J834" s="132"/>
      <c r="K834" s="120"/>
    </row>
    <row r="835" spans="3:11">
      <c r="C835" s="158">
        <f>C815+0.01</f>
        <v>7.0299999999999994</v>
      </c>
      <c r="D835" s="257" t="str">
        <f>RESUMEN!D110</f>
        <v>CONCRETO ARMADO</v>
      </c>
      <c r="E835" s="132"/>
      <c r="F835" s="132"/>
      <c r="G835" s="132"/>
      <c r="H835" s="132"/>
      <c r="I835" s="132"/>
      <c r="J835" s="132"/>
      <c r="K835" s="120"/>
    </row>
    <row r="836" spans="3:11">
      <c r="C836" s="159">
        <f>+C835+0.0001</f>
        <v>7.0300999999999991</v>
      </c>
      <c r="D836" s="259" t="str">
        <f>RESUMEN!D111</f>
        <v>ENCOFRADO Y DESENCOFRADO DE BANCAS</v>
      </c>
      <c r="E836" s="132"/>
      <c r="F836" s="132"/>
      <c r="G836" s="132"/>
      <c r="H836" s="132"/>
      <c r="I836" s="132"/>
      <c r="J836" s="132"/>
      <c r="K836" s="120"/>
    </row>
    <row r="837" spans="3:11" ht="14.4" thickBot="1">
      <c r="C837" s="159"/>
      <c r="D837" s="115" t="s">
        <v>19</v>
      </c>
      <c r="E837" s="115" t="s">
        <v>13</v>
      </c>
      <c r="F837" s="116" t="s">
        <v>4</v>
      </c>
      <c r="G837" s="116" t="s">
        <v>5</v>
      </c>
      <c r="H837" s="116" t="s">
        <v>6</v>
      </c>
      <c r="I837" s="116" t="s">
        <v>11</v>
      </c>
      <c r="J837" s="116" t="s">
        <v>7</v>
      </c>
      <c r="K837" s="115" t="s">
        <v>3</v>
      </c>
    </row>
    <row r="838" spans="3:11" ht="14.4" thickTop="1">
      <c r="C838" s="159"/>
      <c r="D838" s="312" t="s">
        <v>405</v>
      </c>
      <c r="E838" s="134"/>
      <c r="F838" s="134"/>
      <c r="G838" s="134"/>
      <c r="H838" s="134"/>
      <c r="I838" s="134"/>
      <c r="J838" s="134"/>
      <c r="K838" s="122"/>
    </row>
    <row r="839" spans="3:11">
      <c r="C839" s="159"/>
      <c r="D839" s="312"/>
      <c r="E839" s="134"/>
      <c r="F839" s="134"/>
      <c r="G839" s="134"/>
      <c r="H839" s="134"/>
      <c r="I839" s="134"/>
      <c r="J839" s="134"/>
      <c r="K839" s="129"/>
    </row>
    <row r="840" spans="3:11">
      <c r="C840" s="159"/>
      <c r="D840" s="184" t="s">
        <v>406</v>
      </c>
      <c r="E840" s="134"/>
      <c r="F840" s="134"/>
      <c r="G840" s="134"/>
      <c r="H840" s="134"/>
      <c r="I840" s="134"/>
      <c r="J840" s="134"/>
      <c r="K840" s="191" t="s">
        <v>10</v>
      </c>
    </row>
    <row r="841" spans="3:11">
      <c r="C841" s="159"/>
      <c r="D841" s="130" t="s">
        <v>408</v>
      </c>
      <c r="E841" s="134">
        <v>2</v>
      </c>
      <c r="F841" s="134">
        <v>18</v>
      </c>
      <c r="G841" s="134">
        <f>0.4*4</f>
        <v>1.6</v>
      </c>
      <c r="I841" s="134">
        <v>0.45</v>
      </c>
      <c r="J841" s="134">
        <f>+PRODUCT(E841:I841)</f>
        <v>25.92</v>
      </c>
      <c r="K841" s="123"/>
    </row>
    <row r="842" spans="3:11">
      <c r="C842" s="159"/>
      <c r="D842" s="121"/>
      <c r="E842" s="134"/>
      <c r="F842" s="134"/>
      <c r="G842" s="134"/>
      <c r="H842" s="134"/>
      <c r="I842" s="134"/>
      <c r="J842" s="134"/>
      <c r="K842" s="123"/>
    </row>
    <row r="843" spans="3:11">
      <c r="C843" s="159"/>
      <c r="D843" s="184" t="s">
        <v>407</v>
      </c>
      <c r="E843" s="134"/>
      <c r="F843" s="134"/>
      <c r="G843" s="134"/>
      <c r="H843" s="134"/>
      <c r="I843" s="134"/>
      <c r="J843" s="134"/>
      <c r="K843" s="123"/>
    </row>
    <row r="844" spans="3:11">
      <c r="C844" s="159"/>
      <c r="D844" s="130" t="s">
        <v>409</v>
      </c>
      <c r="E844" s="134">
        <v>2</v>
      </c>
      <c r="F844" s="134">
        <v>14</v>
      </c>
      <c r="G844" s="134" t="s">
        <v>59</v>
      </c>
      <c r="H844" s="134">
        <v>1.9470000000000001</v>
      </c>
      <c r="I844" s="134"/>
      <c r="J844" s="134">
        <f>+PRODUCT(E844:I844)</f>
        <v>54.516000000000005</v>
      </c>
      <c r="K844" s="122"/>
    </row>
    <row r="845" spans="3:11">
      <c r="C845" s="159"/>
      <c r="D845" s="130"/>
      <c r="E845" s="134"/>
      <c r="F845" s="134"/>
      <c r="G845" s="134"/>
      <c r="H845" s="134"/>
      <c r="I845" s="134"/>
      <c r="J845" s="134"/>
      <c r="K845" s="122"/>
    </row>
    <row r="846" spans="3:11">
      <c r="C846" s="159"/>
      <c r="D846" s="245" t="str">
        <f>+CONCATENATE("TOTAL DE ",D836)</f>
        <v>TOTAL DE ENCOFRADO Y DESENCOFRADO DE BANCAS</v>
      </c>
      <c r="E846" s="270"/>
      <c r="F846" s="270"/>
      <c r="G846" s="270"/>
      <c r="H846" s="270"/>
      <c r="I846" s="270"/>
      <c r="J846" s="241">
        <f>+SUM(J838:J845)</f>
        <v>80.436000000000007</v>
      </c>
      <c r="K846" s="271" t="str">
        <f>+K840</f>
        <v>M2</v>
      </c>
    </row>
    <row r="847" spans="3:11">
      <c r="C847" s="159"/>
      <c r="D847" s="226"/>
      <c r="E847" s="132"/>
      <c r="F847" s="132"/>
      <c r="G847" s="132"/>
      <c r="H847" s="132"/>
      <c r="I847" s="132"/>
      <c r="J847" s="132"/>
      <c r="K847" s="120"/>
    </row>
    <row r="848" spans="3:11">
      <c r="C848" s="159">
        <f>C836+0.0001</f>
        <v>7.0301999999999989</v>
      </c>
      <c r="D848" s="258" t="str">
        <f>RESUMEN!D112</f>
        <v>CONCRETO PARA BANCAS F’C = 175  Kg/cm2. PARA BANCAS</v>
      </c>
      <c r="E848" s="132"/>
      <c r="F848" s="132"/>
      <c r="G848" s="132"/>
      <c r="H848" s="132"/>
      <c r="I848" s="132"/>
      <c r="J848" s="132"/>
      <c r="K848" s="120"/>
    </row>
    <row r="849" spans="3:11" ht="14.4" thickBot="1">
      <c r="C849" s="159"/>
      <c r="D849" s="115" t="s">
        <v>19</v>
      </c>
      <c r="E849" s="115" t="s">
        <v>13</v>
      </c>
      <c r="F849" s="116" t="s">
        <v>4</v>
      </c>
      <c r="G849" s="116" t="s">
        <v>5</v>
      </c>
      <c r="H849" s="116" t="s">
        <v>6</v>
      </c>
      <c r="I849" s="116" t="s">
        <v>11</v>
      </c>
      <c r="J849" s="116" t="s">
        <v>7</v>
      </c>
      <c r="K849" s="115" t="s">
        <v>3</v>
      </c>
    </row>
    <row r="850" spans="3:11" ht="14.4" thickTop="1">
      <c r="C850" s="159"/>
      <c r="D850" s="312" t="s">
        <v>410</v>
      </c>
      <c r="E850" s="134"/>
      <c r="F850" s="134"/>
      <c r="G850" s="134"/>
      <c r="H850" s="134"/>
      <c r="I850" s="134"/>
      <c r="J850" s="134"/>
      <c r="K850" s="122"/>
    </row>
    <row r="851" spans="3:11">
      <c r="C851" s="159"/>
      <c r="D851" s="312"/>
      <c r="E851" s="134"/>
      <c r="F851" s="134"/>
      <c r="G851" s="134"/>
      <c r="H851" s="134"/>
      <c r="I851" s="134"/>
      <c r="J851" s="134"/>
      <c r="K851" s="129"/>
    </row>
    <row r="852" spans="3:11">
      <c r="C852" s="159"/>
      <c r="D852" s="312"/>
      <c r="E852" s="134"/>
      <c r="F852" s="134"/>
      <c r="G852" s="134"/>
      <c r="H852" s="134"/>
      <c r="I852" s="134"/>
      <c r="J852" s="134"/>
      <c r="K852" s="122"/>
    </row>
    <row r="853" spans="3:11" ht="16.2" customHeight="1">
      <c r="C853" s="159"/>
      <c r="D853" s="183" t="s">
        <v>593</v>
      </c>
      <c r="E853" s="134"/>
      <c r="F853" s="134"/>
      <c r="G853" s="134"/>
      <c r="H853" s="134"/>
      <c r="I853" s="134"/>
      <c r="J853" s="134"/>
      <c r="K853" s="134" t="s">
        <v>12</v>
      </c>
    </row>
    <row r="854" spans="3:11">
      <c r="C854" s="159"/>
      <c r="D854" s="183"/>
      <c r="E854" s="134"/>
      <c r="F854" s="134"/>
      <c r="G854" s="134"/>
      <c r="H854" s="134"/>
      <c r="I854" s="134"/>
      <c r="J854" s="134"/>
      <c r="K854" s="121"/>
    </row>
    <row r="855" spans="3:11">
      <c r="C855" s="159"/>
      <c r="D855" s="183" t="s">
        <v>406</v>
      </c>
      <c r="E855" s="134"/>
      <c r="F855" s="134"/>
      <c r="G855" s="134"/>
      <c r="H855" s="134"/>
      <c r="I855" s="134"/>
      <c r="J855" s="134"/>
      <c r="K855" s="121"/>
    </row>
    <row r="856" spans="3:11">
      <c r="C856" s="159"/>
      <c r="D856" s="130" t="s">
        <v>406</v>
      </c>
      <c r="E856" s="134">
        <v>1</v>
      </c>
      <c r="F856" s="149">
        <v>18</v>
      </c>
      <c r="G856" s="134">
        <v>0.4</v>
      </c>
      <c r="H856" s="134">
        <v>0.4</v>
      </c>
      <c r="I856" s="134">
        <v>0.45</v>
      </c>
      <c r="J856" s="134">
        <f>(H856*E856*F856*I856*G856)</f>
        <v>1.2960000000000003</v>
      </c>
      <c r="K856" s="123"/>
    </row>
    <row r="857" spans="3:11">
      <c r="C857" s="159"/>
      <c r="D857" s="130" t="s">
        <v>513</v>
      </c>
      <c r="E857" s="134">
        <v>1</v>
      </c>
      <c r="F857" s="132">
        <v>18</v>
      </c>
      <c r="G857" s="134">
        <v>0.4</v>
      </c>
      <c r="H857" s="134">
        <v>0.4</v>
      </c>
      <c r="I857" s="134">
        <v>0.2</v>
      </c>
      <c r="J857" s="134">
        <f>(H857*E857*F857*I857*G857)</f>
        <v>0.57600000000000007</v>
      </c>
      <c r="K857" s="123"/>
    </row>
    <row r="858" spans="3:11">
      <c r="C858" s="159"/>
      <c r="D858" s="183" t="s">
        <v>407</v>
      </c>
      <c r="E858" s="134"/>
      <c r="F858" s="134"/>
      <c r="G858" s="134"/>
      <c r="H858" s="134"/>
      <c r="I858" s="134"/>
      <c r="J858" s="134"/>
      <c r="K858" s="121"/>
    </row>
    <row r="859" spans="3:11">
      <c r="C859" s="159"/>
      <c r="D859" s="130" t="s">
        <v>407</v>
      </c>
      <c r="E859" s="134">
        <v>1</v>
      </c>
      <c r="F859" s="132">
        <v>14</v>
      </c>
      <c r="G859" s="134" t="s">
        <v>474</v>
      </c>
      <c r="H859" s="132">
        <f>(0.1647 * 0.4)</f>
        <v>6.5880000000000008E-2</v>
      </c>
      <c r="I859" s="134"/>
      <c r="J859" s="134">
        <f>+PRODUCT(E859:I859)</f>
        <v>0.92232000000000014</v>
      </c>
      <c r="K859" s="123"/>
    </row>
    <row r="860" spans="3:11">
      <c r="C860" s="159"/>
      <c r="D860" s="130" t="s">
        <v>594</v>
      </c>
      <c r="E860" s="134">
        <v>1</v>
      </c>
      <c r="F860" s="132">
        <v>14</v>
      </c>
      <c r="G860" s="134" t="s">
        <v>474</v>
      </c>
      <c r="H860" s="134">
        <f>(0.1356 * 0.15)</f>
        <v>2.034E-2</v>
      </c>
      <c r="I860" s="132"/>
      <c r="J860" s="134">
        <f>+PRODUCT(E860:I860)</f>
        <v>0.28476000000000001</v>
      </c>
      <c r="K860" s="123"/>
    </row>
    <row r="861" spans="3:11">
      <c r="C861" s="159"/>
      <c r="D861" s="130" t="s">
        <v>513</v>
      </c>
      <c r="E861" s="134">
        <v>1</v>
      </c>
      <c r="F861" s="132">
        <v>14</v>
      </c>
      <c r="G861" s="134">
        <v>0.74</v>
      </c>
      <c r="H861" s="247" t="s">
        <v>514</v>
      </c>
      <c r="I861" s="132">
        <v>0.19020000000000001</v>
      </c>
      <c r="J861" s="134">
        <f>+PRODUCT(E861:I861)</f>
        <v>1.970472</v>
      </c>
      <c r="K861" s="123"/>
    </row>
    <row r="862" spans="3:11">
      <c r="C862" s="159"/>
      <c r="D862" s="130"/>
      <c r="E862" s="134"/>
      <c r="F862" s="132"/>
      <c r="G862" s="134"/>
      <c r="H862" s="132"/>
      <c r="I862" s="134"/>
      <c r="J862" s="134"/>
      <c r="K862" s="123"/>
    </row>
    <row r="863" spans="3:11">
      <c r="C863" s="159"/>
      <c r="D863" s="245" t="str">
        <f>+CONCATENATE("TOTAL DE ",D848)</f>
        <v>TOTAL DE CONCRETO PARA BANCAS F’C = 175  Kg/cm2. PARA BANCAS</v>
      </c>
      <c r="E863" s="270"/>
      <c r="F863" s="270"/>
      <c r="G863" s="270"/>
      <c r="H863" s="270"/>
      <c r="I863" s="236"/>
      <c r="J863" s="241">
        <f>+SUM(J850:J862)</f>
        <v>5.0495520000000003</v>
      </c>
      <c r="K863" s="246" t="str">
        <f>+K853</f>
        <v>M3</v>
      </c>
    </row>
    <row r="864" spans="3:11">
      <c r="C864" s="159"/>
      <c r="E864" s="132"/>
      <c r="F864" s="132"/>
      <c r="G864" s="132"/>
      <c r="H864" s="132"/>
      <c r="I864" s="132"/>
      <c r="J864" s="132"/>
      <c r="K864" s="120"/>
    </row>
    <row r="865" spans="3:11">
      <c r="C865" s="159">
        <f>C848+0.0001</f>
        <v>7.0302999999999987</v>
      </c>
      <c r="D865" s="259" t="str">
        <f>RESUMEN!D113</f>
        <v xml:space="preserve">ACERO DE REFUERZO   Fy =4200kg/cm2 </v>
      </c>
      <c r="E865" s="132"/>
      <c r="F865" s="132"/>
      <c r="G865" s="132"/>
      <c r="H865" s="132"/>
      <c r="I865" s="132"/>
      <c r="J865" s="132"/>
      <c r="K865" s="120"/>
    </row>
    <row r="866" spans="3:11">
      <c r="C866" s="159"/>
      <c r="E866" s="132"/>
      <c r="F866" s="132"/>
      <c r="G866" s="132"/>
      <c r="H866" s="132"/>
      <c r="I866" s="132"/>
      <c r="J866" s="132"/>
      <c r="K866" s="120"/>
    </row>
    <row r="867" spans="3:11" ht="14.4" thickBot="1">
      <c r="C867" s="159"/>
      <c r="D867" s="115" t="s">
        <v>19</v>
      </c>
      <c r="E867" s="115" t="s">
        <v>13</v>
      </c>
      <c r="F867" s="116" t="s">
        <v>4</v>
      </c>
      <c r="G867" s="116" t="s">
        <v>5</v>
      </c>
      <c r="H867" s="116" t="s">
        <v>6</v>
      </c>
      <c r="I867" s="116" t="s">
        <v>376</v>
      </c>
      <c r="J867" s="116" t="s">
        <v>7</v>
      </c>
      <c r="K867" s="115" t="s">
        <v>3</v>
      </c>
    </row>
    <row r="868" spans="3:11" ht="14.4" thickTop="1">
      <c r="C868" s="159"/>
      <c r="D868" s="312" t="s">
        <v>375</v>
      </c>
      <c r="E868" s="134"/>
      <c r="F868" s="134"/>
      <c r="G868" s="134"/>
      <c r="H868" s="134"/>
      <c r="I868" s="134"/>
      <c r="J868" s="134"/>
      <c r="K868" s="122"/>
    </row>
    <row r="869" spans="3:11">
      <c r="C869" s="159"/>
      <c r="D869" s="312"/>
      <c r="E869" s="134"/>
      <c r="F869" s="134"/>
      <c r="G869" s="134"/>
      <c r="H869" s="134"/>
      <c r="I869" s="134"/>
      <c r="J869" s="134"/>
      <c r="K869" s="129"/>
    </row>
    <row r="870" spans="3:11">
      <c r="C870" s="159"/>
      <c r="D870" s="312"/>
      <c r="E870" s="134"/>
      <c r="F870" s="134"/>
      <c r="G870" s="134"/>
      <c r="H870" s="134"/>
      <c r="I870" s="134"/>
      <c r="J870" s="134"/>
      <c r="K870" s="122"/>
    </row>
    <row r="871" spans="3:11">
      <c r="C871" s="159"/>
      <c r="D871" s="183" t="s">
        <v>483</v>
      </c>
      <c r="E871" s="134"/>
      <c r="F871" s="134"/>
      <c r="G871" s="134"/>
      <c r="H871" s="134"/>
      <c r="I871" s="134"/>
      <c r="J871" s="134"/>
      <c r="K871" s="121"/>
    </row>
    <row r="872" spans="3:11">
      <c r="C872" s="159"/>
      <c r="D872" s="183"/>
      <c r="E872" s="134"/>
      <c r="F872" s="134"/>
      <c r="G872" s="134"/>
      <c r="H872" s="134"/>
      <c r="I872" s="134"/>
      <c r="J872" s="134"/>
      <c r="K872" s="121"/>
    </row>
    <row r="873" spans="3:11">
      <c r="C873" s="159"/>
      <c r="D873" s="183" t="s">
        <v>482</v>
      </c>
      <c r="E873" s="134"/>
      <c r="F873" s="134"/>
      <c r="G873" s="134"/>
      <c r="H873" s="134"/>
      <c r="I873" s="134"/>
      <c r="J873" s="134"/>
      <c r="K873" s="134" t="s">
        <v>490</v>
      </c>
    </row>
    <row r="874" spans="3:11">
      <c r="C874" s="159"/>
      <c r="D874" s="130" t="s">
        <v>484</v>
      </c>
      <c r="E874" s="134">
        <v>1</v>
      </c>
      <c r="F874" s="134">
        <v>1</v>
      </c>
      <c r="G874" s="134">
        <v>13.45</v>
      </c>
      <c r="H874" s="149" t="s">
        <v>613</v>
      </c>
      <c r="I874" s="218">
        <v>0.56000000000000005</v>
      </c>
      <c r="J874" s="134">
        <f>+PRODUCT(E874:I874)</f>
        <v>7.532</v>
      </c>
      <c r="K874" s="123"/>
    </row>
    <row r="875" spans="3:11">
      <c r="C875" s="159"/>
      <c r="D875" s="130" t="s">
        <v>485</v>
      </c>
      <c r="E875" s="134">
        <v>1</v>
      </c>
      <c r="F875" s="134">
        <v>1</v>
      </c>
      <c r="G875" s="134">
        <v>3.45</v>
      </c>
      <c r="H875" s="149" t="s">
        <v>613</v>
      </c>
      <c r="I875" s="151">
        <v>0.39500000000000002</v>
      </c>
      <c r="J875" s="134">
        <f>+PRODUCT(E875:I875)</f>
        <v>1.3627500000000001</v>
      </c>
      <c r="K875" s="123"/>
    </row>
    <row r="876" spans="3:11">
      <c r="C876" s="159"/>
      <c r="D876" s="183"/>
      <c r="E876" s="134"/>
      <c r="F876" s="134"/>
      <c r="G876" s="227"/>
      <c r="I876" s="151"/>
      <c r="J876" s="134"/>
      <c r="K876" s="123"/>
    </row>
    <row r="877" spans="3:11">
      <c r="C877" s="159"/>
      <c r="D877" s="183" t="s">
        <v>486</v>
      </c>
      <c r="E877" s="134"/>
      <c r="F877" s="134"/>
      <c r="G877" s="227"/>
      <c r="I877" s="151"/>
      <c r="J877" s="134"/>
      <c r="K877" s="123"/>
    </row>
    <row r="878" spans="3:11">
      <c r="C878" s="159"/>
      <c r="D878" s="130" t="s">
        <v>484</v>
      </c>
      <c r="E878" s="134">
        <v>1</v>
      </c>
      <c r="F878" s="134">
        <v>1</v>
      </c>
      <c r="G878" s="134">
        <v>6</v>
      </c>
      <c r="H878" s="149" t="s">
        <v>613</v>
      </c>
      <c r="I878" s="218">
        <v>0.56000000000000005</v>
      </c>
      <c r="J878" s="134">
        <f>+PRODUCT(E878:I878)</f>
        <v>3.3600000000000003</v>
      </c>
      <c r="K878" s="123"/>
    </row>
    <row r="879" spans="3:11">
      <c r="C879" s="159"/>
      <c r="D879" s="130" t="s">
        <v>487</v>
      </c>
      <c r="E879" s="134">
        <v>1</v>
      </c>
      <c r="F879" s="134">
        <v>1</v>
      </c>
      <c r="G879" s="134">
        <v>4.5</v>
      </c>
      <c r="H879" s="149" t="s">
        <v>613</v>
      </c>
      <c r="I879" s="151">
        <v>0.39500000000000002</v>
      </c>
      <c r="J879" s="134">
        <f>+PRODUCT(E879:I879)</f>
        <v>1.7775000000000001</v>
      </c>
      <c r="K879" s="123"/>
    </row>
    <row r="880" spans="3:11">
      <c r="C880" s="159"/>
      <c r="D880" s="183"/>
      <c r="E880" s="134"/>
      <c r="F880" s="134"/>
      <c r="G880" s="227"/>
      <c r="I880" s="151"/>
      <c r="J880" s="134"/>
      <c r="K880" s="123"/>
    </row>
    <row r="881" spans="3:11">
      <c r="C881" s="159"/>
      <c r="D881" s="183" t="s">
        <v>488</v>
      </c>
      <c r="E881" s="132"/>
      <c r="F881" s="134"/>
      <c r="G881" s="134"/>
      <c r="I881" s="134"/>
      <c r="J881" s="132"/>
      <c r="K881" s="123"/>
    </row>
    <row r="882" spans="3:11">
      <c r="C882" s="159"/>
      <c r="D882" s="130" t="s">
        <v>489</v>
      </c>
      <c r="E882" s="134">
        <v>1</v>
      </c>
      <c r="F882" s="134">
        <v>1</v>
      </c>
      <c r="G882" s="134">
        <v>4.0999999999999996</v>
      </c>
      <c r="H882" s="149" t="s">
        <v>613</v>
      </c>
      <c r="I882" s="151">
        <v>0.99</v>
      </c>
      <c r="J882" s="134">
        <f>+PRODUCT(E882:I882)</f>
        <v>4.0589999999999993</v>
      </c>
      <c r="K882" s="123"/>
    </row>
    <row r="883" spans="3:11">
      <c r="C883" s="159"/>
      <c r="D883" s="130"/>
      <c r="E883" s="134"/>
      <c r="F883" s="132"/>
      <c r="G883" s="134"/>
      <c r="H883" s="132"/>
      <c r="I883" s="134"/>
      <c r="J883" s="134"/>
      <c r="K883" s="123"/>
    </row>
    <row r="884" spans="3:11">
      <c r="C884" s="159"/>
      <c r="D884" s="245" t="s">
        <v>614</v>
      </c>
      <c r="E884" s="146"/>
      <c r="F884" s="146"/>
      <c r="G884" s="146"/>
      <c r="H884" s="241"/>
      <c r="I884" s="146"/>
      <c r="J884" s="241">
        <f>SUM(J874:J883)</f>
        <v>18.091250000000002</v>
      </c>
      <c r="K884" s="246" t="str">
        <f>+K873</f>
        <v>KG</v>
      </c>
    </row>
    <row r="885" spans="3:11">
      <c r="C885" s="159"/>
      <c r="D885" s="221"/>
      <c r="E885" s="132"/>
      <c r="F885" s="132"/>
      <c r="G885" s="132"/>
      <c r="H885" s="278"/>
      <c r="I885" s="132"/>
      <c r="J885" s="278"/>
      <c r="K885" s="279"/>
    </row>
    <row r="886" spans="3:11">
      <c r="C886" s="159">
        <f>+C865+0.0001</f>
        <v>7.0303999999999984</v>
      </c>
      <c r="D886" s="259" t="str">
        <f>RESUMEN!D114</f>
        <v>CURADO DE BANCAS CON ADITIVO</v>
      </c>
      <c r="E886" s="132"/>
      <c r="F886" s="132"/>
      <c r="G886" s="132"/>
      <c r="H886" s="132"/>
      <c r="I886" s="132"/>
      <c r="J886" s="132"/>
      <c r="K886" s="120"/>
    </row>
    <row r="887" spans="3:11" ht="14.4" thickBot="1">
      <c r="C887" s="159"/>
      <c r="D887" s="115" t="s">
        <v>19</v>
      </c>
      <c r="E887" s="115" t="s">
        <v>13</v>
      </c>
      <c r="F887" s="116" t="s">
        <v>4</v>
      </c>
      <c r="G887" s="116" t="s">
        <v>5</v>
      </c>
      <c r="H887" s="116" t="s">
        <v>6</v>
      </c>
      <c r="I887" s="116" t="s">
        <v>11</v>
      </c>
      <c r="J887" s="116" t="s">
        <v>7</v>
      </c>
      <c r="K887" s="115" t="s">
        <v>3</v>
      </c>
    </row>
    <row r="888" spans="3:11" ht="14.4" thickTop="1">
      <c r="C888" s="159"/>
      <c r="D888" s="312" t="s">
        <v>405</v>
      </c>
      <c r="E888" s="134"/>
      <c r="F888" s="134"/>
      <c r="G888" s="134"/>
      <c r="H888" s="134"/>
      <c r="I888" s="134"/>
      <c r="J888" s="134"/>
      <c r="K888" s="122"/>
    </row>
    <row r="889" spans="3:11">
      <c r="C889" s="159"/>
      <c r="D889" s="312"/>
      <c r="E889" s="134"/>
      <c r="F889" s="134"/>
      <c r="G889" s="134"/>
      <c r="H889" s="134"/>
      <c r="I889" s="134"/>
      <c r="J889" s="134"/>
      <c r="K889" s="129"/>
    </row>
    <row r="890" spans="3:11">
      <c r="C890" s="159"/>
      <c r="D890" s="184" t="s">
        <v>406</v>
      </c>
      <c r="E890" s="134"/>
      <c r="F890" s="134"/>
      <c r="G890" s="134"/>
      <c r="H890" s="134"/>
      <c r="I890" s="134"/>
      <c r="J890" s="134"/>
      <c r="K890" s="191" t="s">
        <v>10</v>
      </c>
    </row>
    <row r="891" spans="3:11">
      <c r="C891" s="159"/>
      <c r="D891" s="140"/>
      <c r="E891" s="134"/>
      <c r="F891" s="134"/>
      <c r="G891" s="134"/>
      <c r="H891" s="134"/>
      <c r="I891" s="134"/>
      <c r="J891" s="134"/>
      <c r="K891" s="122"/>
    </row>
    <row r="892" spans="3:11">
      <c r="C892" s="159"/>
      <c r="D892" s="130" t="s">
        <v>408</v>
      </c>
      <c r="E892" s="134">
        <v>1</v>
      </c>
      <c r="F892" s="134">
        <v>18</v>
      </c>
      <c r="G892" s="134">
        <f>0.4*4</f>
        <v>1.6</v>
      </c>
      <c r="I892" s="134">
        <v>0.45</v>
      </c>
      <c r="J892" s="134">
        <f>+PRODUCT(E892:I892)+0.16</f>
        <v>13.120000000000001</v>
      </c>
      <c r="K892" s="123"/>
    </row>
    <row r="893" spans="3:11">
      <c r="C893" s="159"/>
      <c r="D893" s="121"/>
      <c r="E893" s="134"/>
      <c r="F893" s="134"/>
      <c r="G893" s="134"/>
      <c r="H893" s="134"/>
      <c r="I893" s="134"/>
      <c r="J893" s="134"/>
      <c r="K893" s="123"/>
    </row>
    <row r="894" spans="3:11">
      <c r="C894" s="159"/>
      <c r="D894" s="184" t="s">
        <v>407</v>
      </c>
      <c r="E894" s="134"/>
      <c r="F894" s="134"/>
      <c r="G894" s="134"/>
      <c r="H894" s="134"/>
      <c r="I894" s="134"/>
      <c r="J894" s="134"/>
      <c r="K894" s="123"/>
    </row>
    <row r="895" spans="3:11">
      <c r="C895" s="159"/>
      <c r="D895" s="130"/>
      <c r="E895" s="114"/>
      <c r="F895" s="220"/>
      <c r="G895" s="220"/>
      <c r="H895" s="121"/>
      <c r="I895" s="220"/>
      <c r="J895" s="121"/>
      <c r="K895" s="122"/>
    </row>
    <row r="896" spans="3:11">
      <c r="C896" s="159"/>
      <c r="D896" s="130" t="s">
        <v>409</v>
      </c>
      <c r="E896" s="134">
        <v>1</v>
      </c>
      <c r="F896" s="134">
        <v>14</v>
      </c>
      <c r="G896" s="134" t="s">
        <v>59</v>
      </c>
      <c r="H896" s="134">
        <f>1.947+ 0.52</f>
        <v>2.4670000000000001</v>
      </c>
      <c r="I896" s="134"/>
      <c r="J896" s="134">
        <f>+PRODUCT(E896:I896)</f>
        <v>34.538000000000004</v>
      </c>
      <c r="K896" s="122"/>
    </row>
    <row r="897" spans="3:21">
      <c r="C897" s="159"/>
      <c r="D897" s="245" t="str">
        <f>+CONCATENATE("TOTAL DE ",D886)</f>
        <v>TOTAL DE CURADO DE BANCAS CON ADITIVO</v>
      </c>
      <c r="E897" s="270"/>
      <c r="F897" s="270"/>
      <c r="G897" s="270"/>
      <c r="H897" s="270"/>
      <c r="I897" s="270"/>
      <c r="J897" s="241">
        <f>+SUM(J888:J896)</f>
        <v>47.658000000000001</v>
      </c>
      <c r="K897" s="271" t="str">
        <f>+K890</f>
        <v>M2</v>
      </c>
    </row>
    <row r="898" spans="3:21">
      <c r="C898" s="159"/>
      <c r="D898" s="221"/>
      <c r="E898" s="278"/>
      <c r="F898" s="278"/>
      <c r="G898" s="278"/>
      <c r="H898" s="278"/>
      <c r="I898" s="278"/>
      <c r="J898" s="278"/>
      <c r="K898" s="292"/>
    </row>
    <row r="899" spans="3:21">
      <c r="C899" s="158">
        <f>C835+0.01</f>
        <v>7.0399999999999991</v>
      </c>
      <c r="D899" s="257" t="str">
        <f>RESUMEN!D115</f>
        <v>TARRAJEO</v>
      </c>
      <c r="E899" s="278"/>
      <c r="F899" s="278"/>
      <c r="G899" s="278"/>
      <c r="H899" s="278"/>
      <c r="I899" s="278"/>
      <c r="J899" s="278"/>
      <c r="K899" s="292"/>
    </row>
    <row r="900" spans="3:21">
      <c r="C900" s="159">
        <f>+C899+0.0001</f>
        <v>7.0400999999999989</v>
      </c>
      <c r="D900" s="259" t="str">
        <f>RESUMEN!D116</f>
        <v>TARRAJEO FROTACHADO CON MEZCLA 1:5</v>
      </c>
      <c r="E900" s="132"/>
      <c r="F900" s="132"/>
      <c r="G900" s="132"/>
      <c r="H900" s="132"/>
      <c r="I900" s="132"/>
      <c r="J900" s="132"/>
      <c r="K900" s="120"/>
    </row>
    <row r="901" spans="3:21" ht="14.4" thickBot="1">
      <c r="C901" s="159"/>
      <c r="D901" s="115" t="s">
        <v>19</v>
      </c>
      <c r="E901" s="115" t="s">
        <v>13</v>
      </c>
      <c r="F901" s="116" t="s">
        <v>4</v>
      </c>
      <c r="G901" s="116" t="s">
        <v>5</v>
      </c>
      <c r="H901" s="116" t="s">
        <v>6</v>
      </c>
      <c r="I901" s="116" t="s">
        <v>11</v>
      </c>
      <c r="J901" s="116" t="s">
        <v>7</v>
      </c>
      <c r="K901" s="115" t="s">
        <v>3</v>
      </c>
    </row>
    <row r="902" spans="3:21" ht="14.4" thickTop="1">
      <c r="C902" s="159"/>
      <c r="D902" s="312" t="s">
        <v>636</v>
      </c>
      <c r="E902" s="134"/>
      <c r="F902" s="134"/>
      <c r="G902" s="134"/>
      <c r="H902" s="134"/>
      <c r="I902" s="134"/>
      <c r="J902" s="134"/>
      <c r="K902" s="122"/>
    </row>
    <row r="903" spans="3:21">
      <c r="C903" s="159"/>
      <c r="D903" s="312"/>
      <c r="E903" s="134"/>
      <c r="F903" s="134"/>
      <c r="G903" s="134"/>
      <c r="H903" s="134"/>
      <c r="I903" s="134"/>
      <c r="J903" s="134"/>
      <c r="K903" s="129"/>
    </row>
    <row r="904" spans="3:21">
      <c r="C904" s="159"/>
      <c r="D904" s="184" t="s">
        <v>406</v>
      </c>
      <c r="E904" s="134"/>
      <c r="F904" s="134"/>
      <c r="G904" s="134"/>
      <c r="H904" s="134"/>
      <c r="I904" s="134"/>
      <c r="J904" s="134"/>
      <c r="K904" s="191" t="s">
        <v>10</v>
      </c>
    </row>
    <row r="905" spans="3:21" ht="9.6" customHeight="1">
      <c r="C905" s="159"/>
      <c r="D905" s="140"/>
      <c r="E905" s="134"/>
      <c r="F905" s="134"/>
      <c r="G905" s="134"/>
      <c r="H905" s="134"/>
      <c r="I905" s="134"/>
      <c r="J905" s="134"/>
      <c r="K905" s="122"/>
    </row>
    <row r="906" spans="3:21">
      <c r="C906" s="159"/>
      <c r="D906" s="130" t="s">
        <v>408</v>
      </c>
      <c r="E906" s="134">
        <v>1</v>
      </c>
      <c r="F906" s="134">
        <v>18</v>
      </c>
      <c r="G906" s="134">
        <f>0.4*4</f>
        <v>1.6</v>
      </c>
      <c r="I906" s="134">
        <v>0.45</v>
      </c>
      <c r="J906" s="134">
        <f>+PRODUCT(E906:I906)+0.16</f>
        <v>13.120000000000001</v>
      </c>
      <c r="K906" s="123"/>
    </row>
    <row r="907" spans="3:21">
      <c r="C907" s="159"/>
      <c r="D907" s="121"/>
      <c r="E907" s="134"/>
      <c r="F907" s="134"/>
      <c r="G907" s="134"/>
      <c r="H907" s="134"/>
      <c r="I907" s="134"/>
      <c r="J907" s="134"/>
      <c r="K907" s="123"/>
    </row>
    <row r="908" spans="3:21" ht="8.4" customHeight="1">
      <c r="C908" s="159"/>
      <c r="D908" s="184" t="s">
        <v>407</v>
      </c>
      <c r="E908" s="134"/>
      <c r="F908" s="134"/>
      <c r="G908" s="134"/>
      <c r="H908" s="134"/>
      <c r="I908" s="134"/>
      <c r="J908" s="134"/>
      <c r="K908" s="123"/>
    </row>
    <row r="909" spans="3:21">
      <c r="C909" s="159"/>
      <c r="D909" s="130"/>
      <c r="E909" s="114"/>
      <c r="F909" s="220"/>
      <c r="G909" s="220"/>
      <c r="H909" s="121"/>
      <c r="I909" s="220"/>
      <c r="J909" s="121"/>
      <c r="K909" s="122"/>
      <c r="S909" s="132"/>
      <c r="T909" s="132"/>
      <c r="U909" s="120"/>
    </row>
    <row r="910" spans="3:21">
      <c r="C910" s="159"/>
      <c r="D910" s="130" t="s">
        <v>409</v>
      </c>
      <c r="E910" s="134">
        <v>1</v>
      </c>
      <c r="F910" s="134">
        <v>14</v>
      </c>
      <c r="G910" s="134" t="s">
        <v>59</v>
      </c>
      <c r="H910" s="134">
        <f>1.947+ 0.52</f>
        <v>2.4670000000000001</v>
      </c>
      <c r="I910" s="134"/>
      <c r="J910" s="134">
        <f>+PRODUCT(E910:I910)</f>
        <v>34.538000000000004</v>
      </c>
      <c r="K910" s="122"/>
      <c r="S910" s="132"/>
      <c r="T910" s="132"/>
      <c r="U910" s="113"/>
    </row>
    <row r="911" spans="3:21">
      <c r="C911" s="159"/>
      <c r="D911" s="245" t="str">
        <f>+CONCATENATE("TOTAL DE ",D900)</f>
        <v>TOTAL DE TARRAJEO FROTACHADO CON MEZCLA 1:5</v>
      </c>
      <c r="E911" s="270"/>
      <c r="F911" s="270"/>
      <c r="G911" s="270"/>
      <c r="H911" s="270"/>
      <c r="I911" s="270"/>
      <c r="J911" s="241">
        <f>+SUM(J902:J910)</f>
        <v>47.658000000000001</v>
      </c>
      <c r="K911" s="271" t="str">
        <f>+K904</f>
        <v>M2</v>
      </c>
      <c r="S911" s="239"/>
      <c r="T911" s="239"/>
      <c r="U911" s="240"/>
    </row>
    <row r="912" spans="3:21">
      <c r="C912" s="159"/>
      <c r="D912" s="221"/>
      <c r="E912" s="278"/>
      <c r="F912" s="278"/>
      <c r="G912" s="278"/>
      <c r="H912" s="278"/>
      <c r="I912" s="278"/>
      <c r="J912" s="278"/>
      <c r="K912" s="292"/>
      <c r="S912" s="132"/>
      <c r="T912" s="132"/>
      <c r="U912" s="120"/>
    </row>
    <row r="913" spans="3:21" ht="13.8" customHeight="1">
      <c r="C913" s="157">
        <v>8</v>
      </c>
      <c r="D913" s="256" t="str">
        <f>RESUMEN!D117</f>
        <v>PISO  ARTIFICIAL DE GRASS SINTETICO</v>
      </c>
      <c r="E913" s="132"/>
      <c r="F913" s="132"/>
      <c r="G913" s="132"/>
      <c r="H913" s="132"/>
      <c r="I913" s="132"/>
      <c r="J913" s="132"/>
      <c r="K913" s="120"/>
      <c r="S913" s="132"/>
      <c r="T913" s="132"/>
    </row>
    <row r="914" spans="3:21">
      <c r="C914" s="158">
        <f>C913+0.01</f>
        <v>8.01</v>
      </c>
      <c r="D914" s="257" t="str">
        <f>RESUMEN!D118</f>
        <v>TRABAJOS PRELIMINARES</v>
      </c>
      <c r="E914" s="114"/>
      <c r="F914" s="114"/>
      <c r="G914" s="114"/>
      <c r="H914" s="114"/>
      <c r="I914" s="114"/>
      <c r="J914" s="114"/>
      <c r="S914" s="132"/>
      <c r="T914" s="132"/>
      <c r="U914" s="117"/>
    </row>
    <row r="915" spans="3:21">
      <c r="C915" s="159">
        <f>+C914+0.0001</f>
        <v>8.0100999999999996</v>
      </c>
      <c r="D915" s="258" t="str">
        <f>RESUMEN!D119</f>
        <v>TRAZO Y REPLANTEO C/ EQUIPO</v>
      </c>
      <c r="E915" s="132"/>
      <c r="F915" s="132"/>
      <c r="G915" s="132"/>
      <c r="H915" s="132"/>
      <c r="I915" s="132"/>
      <c r="J915" s="132"/>
      <c r="K915" s="120"/>
    </row>
    <row r="916" spans="3:21" ht="14.4" thickBot="1">
      <c r="C916" s="159"/>
      <c r="D916" s="115" t="s">
        <v>19</v>
      </c>
      <c r="E916" s="115" t="s">
        <v>13</v>
      </c>
      <c r="F916" s="116" t="s">
        <v>4</v>
      </c>
      <c r="G916" s="116" t="s">
        <v>5</v>
      </c>
      <c r="H916" s="116" t="s">
        <v>6</v>
      </c>
      <c r="I916" s="116" t="s">
        <v>32</v>
      </c>
      <c r="J916" s="116" t="s">
        <v>7</v>
      </c>
      <c r="K916" s="115" t="s">
        <v>3</v>
      </c>
      <c r="M916" s="158"/>
      <c r="N916" s="182"/>
      <c r="O916" s="132"/>
      <c r="P916" s="132"/>
      <c r="Q916" s="132"/>
      <c r="R916" s="132"/>
    </row>
    <row r="917" spans="3:21" ht="14.4" thickTop="1">
      <c r="C917" s="159"/>
      <c r="D917" s="121"/>
      <c r="E917" s="134"/>
      <c r="F917" s="134"/>
      <c r="G917" s="134"/>
      <c r="H917" s="134"/>
      <c r="I917" s="134"/>
      <c r="J917" s="134"/>
      <c r="K917" s="122"/>
      <c r="M917" s="158" t="e">
        <f>+#REF!+0.01</f>
        <v>#REF!</v>
      </c>
      <c r="N917" s="182" t="str">
        <f>RESUMEN!D168</f>
        <v>SERVICIO E INSTALACIÓN DE  ESTRUCTURA METALICA, CON MALLA OLIMPICA GALVANIZADA</v>
      </c>
      <c r="O917" s="132"/>
      <c r="P917" s="132"/>
      <c r="Q917" s="132"/>
      <c r="R917" s="132"/>
    </row>
    <row r="918" spans="3:21">
      <c r="C918" s="159"/>
      <c r="D918" s="312" t="s">
        <v>306</v>
      </c>
      <c r="E918" s="134"/>
      <c r="F918" s="134"/>
      <c r="G918" s="134"/>
      <c r="H918" s="134"/>
      <c r="I918" s="134"/>
      <c r="J918" s="134"/>
      <c r="K918" s="122"/>
      <c r="M918" s="159" t="e">
        <f>+M917+0.0001</f>
        <v>#REF!</v>
      </c>
      <c r="N918" s="217" t="e">
        <f>RESUMEN!#REF!</f>
        <v>#REF!</v>
      </c>
      <c r="O918" s="145"/>
      <c r="P918" s="149"/>
      <c r="Q918" s="149"/>
      <c r="R918" s="149"/>
    </row>
    <row r="919" spans="3:21" ht="28.2" thickBot="1">
      <c r="C919" s="159"/>
      <c r="D919" s="312"/>
      <c r="E919" s="134"/>
      <c r="F919" s="134"/>
      <c r="G919" s="134"/>
      <c r="H919" s="134"/>
      <c r="I919" s="134"/>
      <c r="J919" s="134"/>
      <c r="K919" s="129"/>
      <c r="M919" s="159"/>
      <c r="N919" s="115" t="s">
        <v>19</v>
      </c>
      <c r="O919" s="115" t="s">
        <v>13</v>
      </c>
      <c r="P919" s="116" t="s">
        <v>4</v>
      </c>
      <c r="Q919" s="238" t="s">
        <v>5</v>
      </c>
      <c r="R919" s="239"/>
    </row>
    <row r="920" spans="3:21" ht="14.4" thickTop="1">
      <c r="C920" s="159"/>
      <c r="D920" s="184" t="s">
        <v>595</v>
      </c>
      <c r="E920" s="134"/>
      <c r="F920" s="134"/>
      <c r="G920" s="134"/>
      <c r="H920" s="134"/>
      <c r="I920" s="134"/>
      <c r="J920" s="134"/>
      <c r="K920" s="123" t="s">
        <v>10</v>
      </c>
      <c r="M920" s="159"/>
      <c r="N920" s="311" t="s">
        <v>457</v>
      </c>
      <c r="O920" s="134"/>
      <c r="P920" s="134"/>
      <c r="Q920" s="147"/>
      <c r="R920" s="132"/>
    </row>
    <row r="921" spans="3:21">
      <c r="C921" s="159"/>
      <c r="D921" s="164"/>
      <c r="E921" s="134"/>
      <c r="F921" s="134"/>
      <c r="G921" s="134"/>
      <c r="H921" s="134"/>
      <c r="I921" s="134"/>
      <c r="J921" s="134"/>
      <c r="K921" s="123"/>
      <c r="M921" s="159"/>
      <c r="N921" s="311"/>
      <c r="O921" s="134"/>
      <c r="P921" s="134"/>
      <c r="Q921" s="147"/>
      <c r="R921" s="132"/>
    </row>
    <row r="922" spans="3:21" ht="13.8" customHeight="1">
      <c r="C922" s="159"/>
      <c r="D922" s="130" t="s">
        <v>561</v>
      </c>
      <c r="E922" s="134">
        <v>1</v>
      </c>
      <c r="F922" s="134">
        <v>1</v>
      </c>
      <c r="G922" s="134" t="s">
        <v>59</v>
      </c>
      <c r="H922" s="194">
        <v>91.195999999999998</v>
      </c>
      <c r="I922" s="134"/>
      <c r="J922" s="134">
        <f>+PRODUCT(E922:I922)</f>
        <v>91.195999999999998</v>
      </c>
      <c r="K922" s="123"/>
      <c r="M922" s="159"/>
      <c r="N922" s="311"/>
      <c r="O922" s="134"/>
      <c r="P922" s="134"/>
      <c r="Q922" s="147"/>
      <c r="R922" s="132"/>
    </row>
    <row r="923" spans="3:21">
      <c r="C923" s="159"/>
      <c r="D923" s="133"/>
      <c r="E923" s="134"/>
      <c r="F923" s="134"/>
      <c r="G923" s="134"/>
      <c r="H923" s="134"/>
      <c r="I923" s="134"/>
      <c r="J923" s="134"/>
      <c r="K923" s="122"/>
    </row>
    <row r="924" spans="3:21">
      <c r="C924" s="159"/>
      <c r="D924" s="245" t="str">
        <f>+CONCATENATE("TOTAL DE ",D915)</f>
        <v>TOTAL DE TRAZO Y REPLANTEO C/ EQUIPO</v>
      </c>
      <c r="E924" s="270"/>
      <c r="F924" s="270"/>
      <c r="G924" s="270"/>
      <c r="H924" s="270"/>
      <c r="I924" s="270"/>
      <c r="J924" s="241">
        <f>+SUM(J917:J923)</f>
        <v>91.195999999999998</v>
      </c>
      <c r="K924" s="271" t="str">
        <f>+K920</f>
        <v>M2</v>
      </c>
    </row>
    <row r="925" spans="3:21">
      <c r="C925" s="159"/>
      <c r="E925" s="132"/>
      <c r="F925" s="132"/>
      <c r="G925" s="132"/>
      <c r="H925" s="132"/>
      <c r="I925" s="132"/>
      <c r="J925" s="132"/>
      <c r="K925" s="120"/>
    </row>
    <row r="926" spans="3:21" ht="9.6" customHeight="1">
      <c r="C926" s="158">
        <f>C914+0.01</f>
        <v>8.02</v>
      </c>
      <c r="D926" s="257" t="str">
        <f>RESUMEN!D120</f>
        <v>MOVIMIENTO DE TIERRAS</v>
      </c>
      <c r="E926" s="114"/>
      <c r="F926" s="114"/>
      <c r="G926" s="114"/>
      <c r="H926" s="114"/>
      <c r="I926" s="114"/>
      <c r="J926" s="114"/>
    </row>
    <row r="927" spans="3:21">
      <c r="C927" s="159">
        <f>+C926+0.0001</f>
        <v>8.0200999999999993</v>
      </c>
      <c r="D927" s="258" t="str">
        <f>RESUMEN!D121</f>
        <v>EXCAVACION A MANO EN TERRENO NORMAL</v>
      </c>
      <c r="E927" s="114"/>
      <c r="F927" s="114"/>
      <c r="G927" s="114"/>
      <c r="H927" s="114"/>
      <c r="I927" s="114"/>
      <c r="J927" s="114"/>
    </row>
    <row r="928" spans="3:21" ht="14.4" thickBot="1">
      <c r="C928" s="159"/>
      <c r="D928" s="118" t="s">
        <v>19</v>
      </c>
      <c r="E928" s="115" t="s">
        <v>13</v>
      </c>
      <c r="F928" s="116" t="s">
        <v>4</v>
      </c>
      <c r="G928" s="116" t="s">
        <v>5</v>
      </c>
      <c r="H928" s="116" t="s">
        <v>6</v>
      </c>
      <c r="I928" s="116" t="s">
        <v>32</v>
      </c>
      <c r="J928" s="116" t="s">
        <v>7</v>
      </c>
      <c r="K928" s="115" t="s">
        <v>3</v>
      </c>
    </row>
    <row r="929" spans="3:11" ht="14.4" thickTop="1">
      <c r="C929" s="159"/>
      <c r="D929" s="142"/>
      <c r="E929" s="227"/>
      <c r="F929" s="134"/>
      <c r="G929" s="134"/>
      <c r="H929" s="134"/>
      <c r="I929" s="134"/>
      <c r="J929" s="134"/>
      <c r="K929" s="122"/>
    </row>
    <row r="930" spans="3:11" ht="24.6" customHeight="1">
      <c r="C930" s="159"/>
      <c r="D930" s="312" t="s">
        <v>57</v>
      </c>
      <c r="E930" s="134"/>
      <c r="F930" s="134"/>
      <c r="G930" s="134"/>
      <c r="H930" s="134"/>
      <c r="I930" s="134"/>
      <c r="J930" s="134"/>
      <c r="K930" s="129"/>
    </row>
    <row r="931" spans="3:11">
      <c r="C931" s="159"/>
      <c r="D931" s="312"/>
      <c r="E931" s="134"/>
      <c r="F931" s="134"/>
      <c r="G931" s="134"/>
      <c r="H931" s="134"/>
      <c r="I931" s="134"/>
      <c r="J931" s="134"/>
      <c r="K931" s="123" t="s">
        <v>12</v>
      </c>
    </row>
    <row r="932" spans="3:11">
      <c r="C932" s="159"/>
      <c r="D932" s="184" t="s">
        <v>596</v>
      </c>
      <c r="E932" s="134"/>
      <c r="F932" s="134"/>
      <c r="G932" s="134"/>
      <c r="H932" s="134"/>
      <c r="I932" s="134"/>
      <c r="J932" s="134"/>
      <c r="K932" s="123"/>
    </row>
    <row r="933" spans="3:11">
      <c r="C933" s="159"/>
      <c r="D933" s="164"/>
      <c r="E933" s="134">
        <v>1</v>
      </c>
      <c r="G933" s="134" t="s">
        <v>59</v>
      </c>
      <c r="H933" s="194">
        <v>91.195999999999998</v>
      </c>
      <c r="I933" s="134">
        <v>7.0000000000000007E-2</v>
      </c>
      <c r="J933" s="134">
        <f>+PRODUCT(E933:I933)</f>
        <v>6.3837200000000003</v>
      </c>
      <c r="K933" s="123"/>
    </row>
    <row r="934" spans="3:11">
      <c r="C934" s="159"/>
      <c r="D934" s="130" t="s">
        <v>385</v>
      </c>
      <c r="E934" s="134"/>
      <c r="F934" s="134"/>
      <c r="G934" s="134"/>
      <c r="H934" s="134"/>
      <c r="I934" s="134"/>
      <c r="J934" s="134"/>
      <c r="K934" s="122"/>
    </row>
    <row r="935" spans="3:11">
      <c r="C935" s="159"/>
      <c r="D935" s="245" t="str">
        <f>+CONCATENATE("TOTAL DE ",D926)</f>
        <v>TOTAL DE MOVIMIENTO DE TIERRAS</v>
      </c>
      <c r="E935" s="270"/>
      <c r="F935" s="270"/>
      <c r="G935" s="270"/>
      <c r="H935" s="270"/>
      <c r="I935" s="270"/>
      <c r="J935" s="241">
        <f>+SUM(J929:J934)</f>
        <v>6.3837200000000003</v>
      </c>
      <c r="K935" s="271" t="str">
        <f>+K931</f>
        <v>M3</v>
      </c>
    </row>
    <row r="936" spans="3:11">
      <c r="C936" s="159"/>
      <c r="E936" s="132"/>
      <c r="F936" s="132"/>
      <c r="G936" s="132"/>
      <c r="H936" s="132"/>
      <c r="I936" s="132"/>
      <c r="J936" s="132"/>
      <c r="K936" s="120"/>
    </row>
    <row r="937" spans="3:11">
      <c r="C937" s="159">
        <f>C927+0.0001</f>
        <v>8.0201999999999991</v>
      </c>
      <c r="D937" s="258" t="str">
        <f>RESUMEN!D122</f>
        <v xml:space="preserve">ELIMINACIÓN DE MATERIAL EXCEDENTE C/VOLQUETE DE 15M3 D= 25KM </v>
      </c>
      <c r="E937" s="132"/>
      <c r="F937" s="132"/>
      <c r="G937" s="132"/>
      <c r="H937" s="132"/>
      <c r="I937" s="132"/>
      <c r="J937" s="132"/>
      <c r="K937" s="120"/>
    </row>
    <row r="938" spans="3:11" ht="14.4" thickBot="1">
      <c r="C938" s="159"/>
      <c r="D938" s="115" t="s">
        <v>19</v>
      </c>
      <c r="E938" s="115" t="s">
        <v>13</v>
      </c>
      <c r="F938" s="116" t="s">
        <v>4</v>
      </c>
      <c r="G938" s="116" t="s">
        <v>5</v>
      </c>
      <c r="H938" s="116" t="s">
        <v>6</v>
      </c>
      <c r="I938" s="116" t="s">
        <v>11</v>
      </c>
      <c r="J938" s="116" t="s">
        <v>7</v>
      </c>
      <c r="K938" s="115" t="s">
        <v>3</v>
      </c>
    </row>
    <row r="939" spans="3:11" ht="14.4" thickTop="1">
      <c r="C939" s="159"/>
      <c r="D939" s="121"/>
      <c r="E939" s="134"/>
      <c r="F939" s="134"/>
      <c r="G939" s="134"/>
      <c r="H939" s="134"/>
      <c r="I939" s="134"/>
      <c r="J939" s="134"/>
      <c r="K939" s="122"/>
    </row>
    <row r="940" spans="3:11">
      <c r="C940" s="159"/>
      <c r="D940" s="311" t="s">
        <v>24</v>
      </c>
      <c r="E940" s="134"/>
      <c r="F940" s="134"/>
      <c r="G940" s="134"/>
      <c r="H940" s="134"/>
      <c r="I940" s="134"/>
      <c r="J940" s="134"/>
      <c r="K940" s="122"/>
    </row>
    <row r="941" spans="3:11">
      <c r="C941" s="159"/>
      <c r="D941" s="311"/>
      <c r="E941" s="134"/>
      <c r="F941" s="134"/>
      <c r="G941" s="134"/>
      <c r="H941" s="134"/>
      <c r="I941" s="134"/>
      <c r="J941" s="134"/>
      <c r="K941" s="129"/>
    </row>
    <row r="942" spans="3:11">
      <c r="C942" s="159"/>
      <c r="D942" s="311"/>
      <c r="E942" s="134"/>
      <c r="F942" s="134"/>
      <c r="G942" s="134"/>
      <c r="H942" s="134"/>
      <c r="I942" s="134"/>
      <c r="J942" s="148"/>
      <c r="K942" s="122"/>
    </row>
    <row r="943" spans="3:11">
      <c r="C943" s="159"/>
      <c r="D943" s="133" t="s">
        <v>562</v>
      </c>
      <c r="E943" s="134">
        <v>1.25</v>
      </c>
      <c r="F943" s="134">
        <v>1</v>
      </c>
      <c r="G943" s="134" t="s">
        <v>15</v>
      </c>
      <c r="H943" s="134">
        <f>+J935</f>
        <v>6.3837200000000003</v>
      </c>
      <c r="I943" s="134"/>
      <c r="J943" s="134">
        <f>+PRODUCT(E943:I943)</f>
        <v>7.9796500000000004</v>
      </c>
      <c r="K943" s="123" t="s">
        <v>12</v>
      </c>
    </row>
    <row r="944" spans="3:11">
      <c r="C944" s="159"/>
      <c r="D944" s="133"/>
      <c r="E944" s="134"/>
      <c r="F944" s="134"/>
      <c r="G944" s="134"/>
      <c r="H944" s="134"/>
      <c r="I944" s="134"/>
      <c r="J944" s="134"/>
      <c r="K944" s="123"/>
    </row>
    <row r="945" spans="3:11" ht="27.6">
      <c r="C945" s="159"/>
      <c r="D945" s="289" t="str">
        <f>+CONCATENATE("TOTAL DE ",D937)</f>
        <v xml:space="preserve">TOTAL DE ELIMINACIÓN DE MATERIAL EXCEDENTE C/VOLQUETE DE 15M3 D= 25KM </v>
      </c>
      <c r="E945" s="270"/>
      <c r="F945" s="270"/>
      <c r="G945" s="270"/>
      <c r="H945" s="270"/>
      <c r="I945" s="270"/>
      <c r="J945" s="241">
        <f>+SUM(J939:J944)</f>
        <v>7.9796500000000004</v>
      </c>
      <c r="K945" s="271" t="str">
        <f>+K943</f>
        <v>M3</v>
      </c>
    </row>
    <row r="946" spans="3:11">
      <c r="C946" s="159"/>
      <c r="E946" s="132"/>
      <c r="F946" s="132"/>
      <c r="G946" s="132"/>
      <c r="H946" s="132"/>
      <c r="I946" s="132"/>
      <c r="J946" s="132"/>
      <c r="K946" s="120"/>
    </row>
    <row r="947" spans="3:11">
      <c r="C947" s="159">
        <f>C937+0.0001</f>
        <v>8.0202999999999989</v>
      </c>
      <c r="D947" s="258" t="str">
        <f>RESUMEN!D123</f>
        <v>CONFORMACION Y COMPACTACIÓN DE SUBRASANTE CON MOTONIVELADORA 125HP</v>
      </c>
      <c r="E947" s="132"/>
      <c r="F947" s="132"/>
      <c r="G947" s="132"/>
      <c r="H947" s="132"/>
      <c r="I947" s="132"/>
      <c r="J947" s="132"/>
      <c r="K947" s="120"/>
    </row>
    <row r="948" spans="3:11" ht="14.4" thickBot="1">
      <c r="C948" s="159"/>
      <c r="D948" s="115" t="s">
        <v>19</v>
      </c>
      <c r="E948" s="115" t="s">
        <v>13</v>
      </c>
      <c r="F948" s="116" t="s">
        <v>4</v>
      </c>
      <c r="G948" s="116" t="s">
        <v>5</v>
      </c>
      <c r="H948" s="116" t="s">
        <v>6</v>
      </c>
      <c r="I948" s="116" t="s">
        <v>11</v>
      </c>
      <c r="J948" s="116" t="s">
        <v>7</v>
      </c>
      <c r="K948" s="115" t="s">
        <v>3</v>
      </c>
    </row>
    <row r="949" spans="3:11" ht="14.4" thickTop="1">
      <c r="C949" s="159"/>
      <c r="D949" s="121"/>
      <c r="E949" s="134"/>
      <c r="F949" s="134"/>
      <c r="G949" s="134"/>
      <c r="H949" s="134"/>
      <c r="I949" s="134"/>
      <c r="J949" s="134"/>
      <c r="K949" s="122"/>
    </row>
    <row r="950" spans="3:11">
      <c r="C950" s="159"/>
      <c r="D950" s="311" t="s">
        <v>23</v>
      </c>
      <c r="E950" s="134"/>
      <c r="F950" s="134"/>
      <c r="G950" s="134"/>
      <c r="H950" s="134"/>
      <c r="I950" s="134"/>
      <c r="J950" s="134"/>
      <c r="K950" s="122"/>
    </row>
    <row r="951" spans="3:11">
      <c r="C951" s="159"/>
      <c r="D951" s="311"/>
      <c r="E951" s="134"/>
      <c r="F951" s="134"/>
      <c r="G951" s="134"/>
      <c r="H951" s="134"/>
      <c r="I951" s="134"/>
      <c r="J951" s="134"/>
      <c r="K951" s="129"/>
    </row>
    <row r="952" spans="3:11">
      <c r="C952" s="159"/>
      <c r="D952" s="311"/>
      <c r="E952" s="134"/>
      <c r="F952" s="134"/>
      <c r="G952" s="134"/>
      <c r="H952" s="134"/>
      <c r="I952" s="134"/>
      <c r="J952" s="148"/>
      <c r="K952" s="122"/>
    </row>
    <row r="953" spans="3:11">
      <c r="C953" s="159"/>
      <c r="D953" s="184" t="s">
        <v>385</v>
      </c>
      <c r="E953" s="134"/>
      <c r="F953" s="134"/>
      <c r="G953" s="134"/>
      <c r="H953" s="134"/>
      <c r="I953" s="134"/>
      <c r="J953" s="134"/>
      <c r="K953" s="191" t="s">
        <v>10</v>
      </c>
    </row>
    <row r="954" spans="3:11">
      <c r="C954" s="159"/>
      <c r="D954" s="130" t="str">
        <f>D934</f>
        <v>AREA JUEGOS PARA NIÑOS</v>
      </c>
      <c r="E954" s="134">
        <v>1</v>
      </c>
      <c r="F954" s="134">
        <v>1</v>
      </c>
      <c r="G954" s="134" t="s">
        <v>56</v>
      </c>
      <c r="H954" s="134">
        <f>H922</f>
        <v>91.195999999999998</v>
      </c>
      <c r="I954" s="134"/>
      <c r="J954" s="134">
        <f>+F954*H954*E954</f>
        <v>91.195999999999998</v>
      </c>
      <c r="K954" s="123"/>
    </row>
    <row r="955" spans="3:11">
      <c r="C955" s="159"/>
      <c r="D955" s="131"/>
      <c r="E955" s="134"/>
      <c r="F955" s="134"/>
      <c r="G955" s="134"/>
      <c r="H955" s="150"/>
      <c r="I955" s="134"/>
      <c r="J955" s="150"/>
      <c r="K955" s="123"/>
    </row>
    <row r="956" spans="3:11" ht="27.6">
      <c r="C956" s="159"/>
      <c r="D956" s="289" t="str">
        <f>+CONCATENATE("TOTAL DE ",D947)</f>
        <v>TOTAL DE CONFORMACION Y COMPACTACIÓN DE SUBRASANTE CON MOTONIVELADORA 125HP</v>
      </c>
      <c r="E956" s="270"/>
      <c r="F956" s="270"/>
      <c r="G956" s="270"/>
      <c r="H956" s="270"/>
      <c r="I956" s="270"/>
      <c r="J956" s="241">
        <f>+SUM(J954:J954)</f>
        <v>91.195999999999998</v>
      </c>
      <c r="K956" s="271" t="str">
        <f>+K953</f>
        <v>M2</v>
      </c>
    </row>
    <row r="957" spans="3:11">
      <c r="C957" s="159"/>
      <c r="E957" s="132"/>
      <c r="F957" s="132"/>
      <c r="G957" s="132"/>
      <c r="H957" s="132"/>
      <c r="I957" s="132"/>
      <c r="J957" s="132"/>
      <c r="K957" s="120"/>
    </row>
    <row r="958" spans="3:11">
      <c r="C958" s="158">
        <f>C926+0.01</f>
        <v>8.0299999999999994</v>
      </c>
      <c r="D958" s="182" t="str">
        <f>RESUMEN!D124</f>
        <v>BASE</v>
      </c>
      <c r="E958" s="132"/>
      <c r="F958" s="132"/>
      <c r="G958" s="132"/>
      <c r="H958" s="132"/>
      <c r="I958" s="132"/>
      <c r="J958" s="132"/>
      <c r="K958" s="120"/>
    </row>
    <row r="959" spans="3:11">
      <c r="C959" s="159">
        <f>C958+0.0001</f>
        <v>8.0300999999999991</v>
      </c>
      <c r="D959" s="258" t="str">
        <f>RESUMEN!D125</f>
        <v>BASE GRANULAR PARA PISO ARTIFICIAL E=0.07M</v>
      </c>
      <c r="E959" s="132"/>
      <c r="F959" s="132"/>
      <c r="G959" s="132"/>
      <c r="H959" s="132"/>
      <c r="I959" s="132"/>
      <c r="J959" s="132"/>
      <c r="K959" s="120"/>
    </row>
    <row r="960" spans="3:11" ht="14.4" thickBot="1">
      <c r="C960" s="159"/>
      <c r="D960" s="115" t="s">
        <v>19</v>
      </c>
      <c r="E960" s="115" t="s">
        <v>13</v>
      </c>
      <c r="F960" s="116" t="s">
        <v>4</v>
      </c>
      <c r="G960" s="116" t="s">
        <v>5</v>
      </c>
      <c r="H960" s="116" t="s">
        <v>6</v>
      </c>
      <c r="I960" s="116" t="s">
        <v>11</v>
      </c>
      <c r="J960" s="116" t="s">
        <v>7</v>
      </c>
      <c r="K960" s="115" t="s">
        <v>3</v>
      </c>
    </row>
    <row r="961" spans="3:11" ht="14.4" thickTop="1">
      <c r="C961" s="159"/>
      <c r="D961" s="121"/>
      <c r="E961" s="134"/>
      <c r="F961" s="134"/>
      <c r="G961" s="134"/>
      <c r="H961" s="134"/>
      <c r="I961" s="134"/>
      <c r="J961" s="134"/>
      <c r="K961" s="122"/>
    </row>
    <row r="962" spans="3:11">
      <c r="C962" s="159"/>
      <c r="D962" s="311" t="s">
        <v>25</v>
      </c>
      <c r="E962" s="134"/>
      <c r="F962" s="134"/>
      <c r="G962" s="134"/>
      <c r="H962" s="134"/>
      <c r="I962" s="134"/>
      <c r="J962" s="134"/>
      <c r="K962" s="122"/>
    </row>
    <row r="963" spans="3:11">
      <c r="C963" s="159"/>
      <c r="D963" s="311"/>
      <c r="E963" s="134"/>
      <c r="F963" s="134"/>
      <c r="G963" s="134"/>
      <c r="H963" s="134"/>
      <c r="I963" s="134"/>
      <c r="J963" s="134"/>
      <c r="K963" s="129"/>
    </row>
    <row r="964" spans="3:11">
      <c r="C964" s="159"/>
      <c r="D964" s="311"/>
      <c r="E964" s="134"/>
      <c r="F964" s="134"/>
      <c r="G964" s="134"/>
      <c r="H964" s="134"/>
      <c r="I964" s="134"/>
      <c r="J964" s="148"/>
      <c r="K964" s="122"/>
    </row>
    <row r="965" spans="3:11">
      <c r="C965" s="159"/>
      <c r="D965" s="131" t="s">
        <v>598</v>
      </c>
      <c r="E965" s="134">
        <v>1</v>
      </c>
      <c r="F965" s="134">
        <v>1</v>
      </c>
      <c r="G965" s="134" t="s">
        <v>56</v>
      </c>
      <c r="H965" s="132">
        <f>H922</f>
        <v>91.195999999999998</v>
      </c>
      <c r="I965" s="134">
        <v>7.0000000000000007E-2</v>
      </c>
      <c r="J965" s="134">
        <f>+PRODUCT(E965:I965)</f>
        <v>6.3837200000000003</v>
      </c>
      <c r="K965" s="123" t="s">
        <v>10</v>
      </c>
    </row>
    <row r="966" spans="3:11">
      <c r="C966" s="159"/>
      <c r="D966" s="131" t="s">
        <v>597</v>
      </c>
      <c r="E966" s="134"/>
      <c r="F966" s="134"/>
      <c r="G966" s="134"/>
      <c r="H966" s="132"/>
      <c r="I966" s="134"/>
      <c r="J966" s="134"/>
      <c r="K966" s="123"/>
    </row>
    <row r="967" spans="3:11">
      <c r="C967" s="159"/>
      <c r="D967" s="131"/>
      <c r="E967" s="134"/>
      <c r="F967" s="134"/>
      <c r="G967" s="134"/>
      <c r="H967" s="132"/>
      <c r="I967" s="134"/>
      <c r="J967" s="134"/>
      <c r="K967" s="123"/>
    </row>
    <row r="968" spans="3:11">
      <c r="C968" s="159"/>
      <c r="D968" s="289" t="str">
        <f>+CONCATENATE("TOTAL DE ",D959)</f>
        <v>TOTAL DE BASE GRANULAR PARA PISO ARTIFICIAL E=0.07M</v>
      </c>
      <c r="E968" s="270"/>
      <c r="F968" s="270"/>
      <c r="G968" s="270"/>
      <c r="H968" s="270"/>
      <c r="I968" s="270"/>
      <c r="J968" s="241">
        <f>+SUM(J963:J967)</f>
        <v>6.3837200000000003</v>
      </c>
      <c r="K968" s="271" t="str">
        <f>+K965</f>
        <v>M2</v>
      </c>
    </row>
    <row r="969" spans="3:11">
      <c r="C969" s="158"/>
      <c r="D969" s="182"/>
      <c r="E969" s="114"/>
      <c r="F969" s="114"/>
      <c r="G969" s="114"/>
      <c r="H969" s="114"/>
      <c r="I969" s="114"/>
      <c r="J969" s="114"/>
    </row>
    <row r="970" spans="3:11">
      <c r="C970" s="158">
        <f>C958+0.01</f>
        <v>8.0399999999999991</v>
      </c>
      <c r="D970" s="182" t="str">
        <f>RESUMEN!D126</f>
        <v xml:space="preserve"> GRASS SINTÉTICO</v>
      </c>
      <c r="E970" s="132"/>
      <c r="F970" s="132"/>
      <c r="G970" s="132"/>
      <c r="H970" s="132"/>
      <c r="I970" s="132"/>
      <c r="J970" s="132"/>
      <c r="K970" s="120"/>
    </row>
    <row r="971" spans="3:11">
      <c r="C971" s="159">
        <f>C970+0.0001</f>
        <v>8.0400999999999989</v>
      </c>
      <c r="D971" s="258" t="str">
        <f>RESUMEN!D127</f>
        <v>SUMINISTRO E INSTALACIÓN DE GRASS ARTIFICIAL  SINTÉTICO</v>
      </c>
      <c r="E971" s="132"/>
      <c r="F971" s="132"/>
      <c r="G971" s="132"/>
      <c r="H971" s="132"/>
      <c r="I971" s="132"/>
      <c r="J971" s="132"/>
      <c r="K971" s="120"/>
    </row>
    <row r="972" spans="3:11" ht="14.4" thickBot="1">
      <c r="C972" s="159"/>
      <c r="D972" s="115" t="s">
        <v>19</v>
      </c>
      <c r="E972" s="115" t="s">
        <v>13</v>
      </c>
      <c r="F972" s="116" t="s">
        <v>4</v>
      </c>
      <c r="G972" s="116" t="s">
        <v>5</v>
      </c>
      <c r="H972" s="116" t="s">
        <v>6</v>
      </c>
      <c r="I972" s="116" t="s">
        <v>11</v>
      </c>
      <c r="J972" s="116" t="s">
        <v>7</v>
      </c>
      <c r="K972" s="115" t="s">
        <v>3</v>
      </c>
    </row>
    <row r="973" spans="3:11" ht="14.4" thickTop="1">
      <c r="C973" s="159"/>
      <c r="D973" s="121"/>
      <c r="E973" s="134"/>
      <c r="F973" s="134"/>
      <c r="G973" s="134"/>
      <c r="H973" s="134"/>
      <c r="I973" s="134"/>
      <c r="J973" s="134"/>
      <c r="K973" s="122"/>
    </row>
    <row r="974" spans="3:11">
      <c r="C974" s="159"/>
      <c r="D974" s="131" t="s">
        <v>396</v>
      </c>
      <c r="E974" s="134"/>
      <c r="F974" s="134"/>
      <c r="G974" s="134"/>
      <c r="H974" s="134"/>
      <c r="I974" s="134"/>
      <c r="J974" s="134"/>
      <c r="K974" s="122"/>
    </row>
    <row r="975" spans="3:11">
      <c r="C975" s="159"/>
      <c r="D975" s="131"/>
      <c r="E975" s="134"/>
      <c r="F975" s="134"/>
      <c r="G975" s="134"/>
      <c r="H975" s="134"/>
      <c r="I975" s="134"/>
      <c r="J975" s="134"/>
      <c r="K975" s="129"/>
    </row>
    <row r="976" spans="3:11">
      <c r="C976" s="159"/>
      <c r="D976" s="184" t="s">
        <v>384</v>
      </c>
      <c r="E976" s="134">
        <v>1</v>
      </c>
      <c r="F976" s="134">
        <v>1</v>
      </c>
      <c r="G976" s="134" t="s">
        <v>56</v>
      </c>
      <c r="H976" s="134">
        <f>+J922</f>
        <v>91.195999999999998</v>
      </c>
      <c r="I976" s="134"/>
      <c r="J976" s="134">
        <f>+PRODUCT(E976:I976)</f>
        <v>91.195999999999998</v>
      </c>
      <c r="K976" s="123" t="s">
        <v>10</v>
      </c>
    </row>
    <row r="977" spans="3:11" ht="27.6">
      <c r="C977" s="159"/>
      <c r="D977" s="289" t="str">
        <f>+CONCATENATE("TOTAL DE ",D971)</f>
        <v>TOTAL DE SUMINISTRO E INSTALACIÓN DE GRASS ARTIFICIAL  SINTÉTICO</v>
      </c>
      <c r="E977" s="270"/>
      <c r="F977" s="270"/>
      <c r="G977" s="270"/>
      <c r="H977" s="270"/>
      <c r="I977" s="270"/>
      <c r="J977" s="241">
        <f>+SUM(J973:J976)</f>
        <v>91.195999999999998</v>
      </c>
      <c r="K977" s="271" t="str">
        <f>+K976</f>
        <v>M2</v>
      </c>
    </row>
    <row r="978" spans="3:11">
      <c r="C978" s="159"/>
      <c r="E978" s="132"/>
      <c r="F978" s="132"/>
      <c r="G978" s="132"/>
      <c r="H978" s="132"/>
      <c r="I978" s="132"/>
      <c r="J978" s="132"/>
      <c r="K978" s="120"/>
    </row>
    <row r="979" spans="3:11">
      <c r="C979" s="157">
        <f>C913+1</f>
        <v>9</v>
      </c>
      <c r="D979" s="262" t="str">
        <f>RESUMEN!D128</f>
        <v>INSTALACIONES  ELECTRICAS</v>
      </c>
      <c r="E979" s="114"/>
      <c r="F979" s="114"/>
      <c r="G979" s="114"/>
      <c r="H979" s="114"/>
      <c r="I979" s="114"/>
      <c r="J979" s="114"/>
    </row>
    <row r="980" spans="3:11">
      <c r="C980" s="158">
        <f>+C979+0.01</f>
        <v>9.01</v>
      </c>
      <c r="D980" s="263" t="str">
        <f>RESUMEN!D129</f>
        <v>SUMINISTRO E INSTALACION DE POSTES DE C.A.C DE 12M</v>
      </c>
      <c r="E980" s="132"/>
      <c r="F980" s="132"/>
      <c r="G980" s="132"/>
      <c r="H980" s="132"/>
      <c r="I980" s="132"/>
      <c r="J980" s="132"/>
      <c r="K980" s="120"/>
    </row>
    <row r="981" spans="3:11">
      <c r="C981" s="159">
        <f>C980+0.0001</f>
        <v>9.0100999999999996</v>
      </c>
      <c r="D981" s="264" t="str">
        <f>RESUMEN!D130</f>
        <v>MANHOL DE CONCRETO DE 0.60x0.60x0.80m</v>
      </c>
    </row>
    <row r="982" spans="3:11" ht="14.4" thickBot="1">
      <c r="C982" s="159"/>
      <c r="D982" s="115" t="s">
        <v>19</v>
      </c>
      <c r="E982" s="115" t="s">
        <v>13</v>
      </c>
      <c r="F982" s="116" t="s">
        <v>4</v>
      </c>
      <c r="G982" s="116" t="s">
        <v>5</v>
      </c>
      <c r="H982" s="116" t="s">
        <v>6</v>
      </c>
      <c r="I982" s="116" t="s">
        <v>11</v>
      </c>
      <c r="J982" s="116" t="s">
        <v>7</v>
      </c>
      <c r="K982" s="115" t="s">
        <v>3</v>
      </c>
    </row>
    <row r="983" spans="3:11" ht="14.4" thickTop="1">
      <c r="C983" s="159"/>
      <c r="D983" s="121"/>
      <c r="E983" s="134"/>
      <c r="F983" s="134"/>
      <c r="G983" s="134"/>
      <c r="H983" s="134"/>
      <c r="I983" s="134"/>
      <c r="J983" s="134"/>
      <c r="K983" s="122"/>
    </row>
    <row r="984" spans="3:11">
      <c r="C984" s="159"/>
      <c r="D984" s="198" t="s">
        <v>495</v>
      </c>
      <c r="E984" s="134"/>
      <c r="F984" s="134"/>
      <c r="G984" s="134"/>
      <c r="H984" s="134"/>
      <c r="I984" s="134"/>
      <c r="J984" s="134"/>
      <c r="K984" s="122"/>
    </row>
    <row r="985" spans="3:11">
      <c r="C985" s="159"/>
      <c r="D985" s="198"/>
      <c r="E985" s="134"/>
      <c r="F985" s="134"/>
      <c r="G985" s="134"/>
      <c r="H985" s="134"/>
      <c r="I985" s="147"/>
      <c r="J985" s="134"/>
      <c r="K985" s="144"/>
    </row>
    <row r="986" spans="3:11">
      <c r="C986" s="159"/>
      <c r="D986" s="131" t="s">
        <v>496</v>
      </c>
      <c r="E986" s="134">
        <v>1</v>
      </c>
      <c r="F986" s="134">
        <v>3</v>
      </c>
      <c r="G986" s="134"/>
      <c r="H986" s="134"/>
      <c r="I986" s="134"/>
      <c r="J986" s="134">
        <f t="shared" ref="J986" si="24">+PRODUCT(E986:I986)</f>
        <v>3</v>
      </c>
      <c r="K986" s="123" t="s">
        <v>3</v>
      </c>
    </row>
    <row r="987" spans="3:11">
      <c r="C987" s="159"/>
      <c r="D987" s="131"/>
      <c r="E987" s="134"/>
      <c r="F987" s="134"/>
      <c r="G987" s="134"/>
      <c r="H987" s="134"/>
      <c r="I987" s="134"/>
      <c r="J987" s="134"/>
      <c r="K987" s="122"/>
    </row>
    <row r="988" spans="3:11">
      <c r="C988" s="159"/>
      <c r="D988" s="289" t="str">
        <f>+CONCATENATE("TOTAL DE ",D981)</f>
        <v>TOTAL DE MANHOL DE CONCRETO DE 0.60x0.60x0.80m</v>
      </c>
      <c r="E988" s="270"/>
      <c r="F988" s="270"/>
      <c r="G988" s="270"/>
      <c r="H988" s="270"/>
      <c r="I988" s="270"/>
      <c r="J988" s="241">
        <f>+SUM(J983:J987)</f>
        <v>3</v>
      </c>
      <c r="K988" s="271" t="str">
        <f>+K986</f>
        <v>UND</v>
      </c>
    </row>
    <row r="990" spans="3:11">
      <c r="C990" s="159">
        <f>C981+0.0001</f>
        <v>9.0101999999999993</v>
      </c>
      <c r="D990" s="264" t="str">
        <f>RESUMEN!D131</f>
        <v>TRANSPORTE DE POSTES DE CONCRETO DE ALMACEN A PUNTO DE IZAJE</v>
      </c>
    </row>
    <row r="991" spans="3:11" ht="14.4" thickBot="1">
      <c r="C991" s="159"/>
      <c r="D991" s="115" t="s">
        <v>19</v>
      </c>
      <c r="E991" s="115" t="s">
        <v>13</v>
      </c>
      <c r="F991" s="116" t="s">
        <v>4</v>
      </c>
      <c r="G991" s="116" t="s">
        <v>5</v>
      </c>
      <c r="H991" s="116" t="s">
        <v>6</v>
      </c>
      <c r="I991" s="116" t="s">
        <v>11</v>
      </c>
      <c r="J991" s="116" t="s">
        <v>7</v>
      </c>
      <c r="K991" s="115" t="s">
        <v>3</v>
      </c>
    </row>
    <row r="992" spans="3:11" ht="14.4" thickTop="1">
      <c r="C992" s="159"/>
      <c r="D992" s="121"/>
      <c r="E992" s="134"/>
      <c r="F992" s="134"/>
      <c r="G992" s="134"/>
      <c r="H992" s="134"/>
      <c r="I992" s="134"/>
      <c r="J992" s="134"/>
      <c r="K992" s="122"/>
    </row>
    <row r="993" spans="3:11">
      <c r="C993" s="159"/>
      <c r="D993" s="244" t="s">
        <v>498</v>
      </c>
      <c r="E993" s="134"/>
      <c r="F993" s="134"/>
      <c r="G993" s="134"/>
      <c r="H993" s="134"/>
      <c r="I993" s="134"/>
      <c r="J993" s="134"/>
      <c r="K993" s="122"/>
    </row>
    <row r="994" spans="3:11">
      <c r="C994" s="159"/>
      <c r="D994" s="131" t="s">
        <v>496</v>
      </c>
      <c r="E994" s="134">
        <v>1</v>
      </c>
      <c r="F994" s="134">
        <v>3</v>
      </c>
      <c r="G994" s="134"/>
      <c r="H994" s="134"/>
      <c r="I994" s="134"/>
      <c r="J994" s="134">
        <f t="shared" ref="J994" si="25">+PRODUCT(E994:I994)</f>
        <v>3</v>
      </c>
      <c r="K994" s="123" t="s">
        <v>3</v>
      </c>
    </row>
    <row r="995" spans="3:11">
      <c r="C995" s="159"/>
      <c r="D995" s="131"/>
      <c r="E995" s="134"/>
      <c r="F995" s="134"/>
      <c r="G995" s="134"/>
      <c r="H995" s="134"/>
      <c r="I995" s="134"/>
      <c r="J995" s="134"/>
      <c r="K995" s="122"/>
    </row>
    <row r="996" spans="3:11" ht="27.6">
      <c r="C996" s="159"/>
      <c r="D996" s="289" t="str">
        <f>+CONCATENATE("TOTAL DE ",D990)</f>
        <v>TOTAL DE TRANSPORTE DE POSTES DE CONCRETO DE ALMACEN A PUNTO DE IZAJE</v>
      </c>
      <c r="E996" s="270"/>
      <c r="F996" s="270"/>
      <c r="G996" s="270"/>
      <c r="H996" s="270"/>
      <c r="I996" s="270"/>
      <c r="J996" s="241">
        <f>+SUM(J992:J995)</f>
        <v>3</v>
      </c>
      <c r="K996" s="271" t="str">
        <f>+K994</f>
        <v>UND</v>
      </c>
    </row>
    <row r="998" spans="3:11">
      <c r="C998" s="159">
        <f>C990+0.0001</f>
        <v>9.0102999999999991</v>
      </c>
      <c r="D998" s="248" t="str">
        <f>RESUMEN!D132</f>
        <v>EXCAVACION DE ZANJAS MANUAL PARA CIMIENTOS EN TERRENO NORMAL HASRA 1.70M</v>
      </c>
    </row>
    <row r="999" spans="3:11" ht="14.4" thickBot="1">
      <c r="C999" s="159"/>
      <c r="D999" s="115" t="s">
        <v>19</v>
      </c>
      <c r="E999" s="115" t="s">
        <v>13</v>
      </c>
      <c r="F999" s="116" t="s">
        <v>4</v>
      </c>
      <c r="G999" s="116" t="s">
        <v>5</v>
      </c>
      <c r="H999" s="116" t="s">
        <v>6</v>
      </c>
      <c r="I999" s="116" t="s">
        <v>11</v>
      </c>
      <c r="J999" s="116" t="s">
        <v>7</v>
      </c>
      <c r="K999" s="115" t="s">
        <v>3</v>
      </c>
    </row>
    <row r="1000" spans="3:11" ht="14.4" thickTop="1">
      <c r="C1000" s="159"/>
      <c r="D1000" s="121"/>
      <c r="E1000" s="134"/>
      <c r="F1000" s="134"/>
      <c r="G1000" s="134"/>
      <c r="H1000" s="134"/>
      <c r="I1000" s="134"/>
      <c r="J1000" s="134"/>
      <c r="K1000" s="122"/>
    </row>
    <row r="1001" spans="3:11">
      <c r="C1001" s="159"/>
      <c r="D1001" s="244" t="s">
        <v>500</v>
      </c>
      <c r="E1001" s="134"/>
      <c r="F1001" s="134"/>
      <c r="G1001" s="134"/>
      <c r="H1001" s="134"/>
      <c r="I1001" s="134"/>
      <c r="J1001" s="134"/>
      <c r="K1001" s="122"/>
    </row>
    <row r="1002" spans="3:11">
      <c r="C1002" s="159"/>
      <c r="D1002" s="244"/>
      <c r="E1002" s="134"/>
      <c r="F1002" s="134"/>
      <c r="G1002" s="134"/>
      <c r="H1002" s="134"/>
      <c r="I1002" s="147"/>
      <c r="J1002" s="134"/>
      <c r="K1002" s="144"/>
    </row>
    <row r="1003" spans="3:11">
      <c r="C1003" s="159"/>
      <c r="D1003" s="131" t="s">
        <v>496</v>
      </c>
      <c r="E1003" s="134">
        <v>1</v>
      </c>
      <c r="F1003" s="134">
        <v>3</v>
      </c>
      <c r="G1003" s="134">
        <v>0.7</v>
      </c>
      <c r="H1003" s="134">
        <v>0.7</v>
      </c>
      <c r="I1003" s="134">
        <v>1.7</v>
      </c>
      <c r="J1003" s="134">
        <f>+PRODUCT(E1003:I1003)</f>
        <v>2.4989999999999997</v>
      </c>
      <c r="K1003" s="123" t="s">
        <v>12</v>
      </c>
    </row>
    <row r="1004" spans="3:11">
      <c r="C1004" s="159"/>
      <c r="D1004" s="131"/>
      <c r="E1004" s="134"/>
      <c r="F1004" s="134"/>
      <c r="G1004" s="134"/>
      <c r="H1004" s="134"/>
      <c r="I1004" s="134"/>
      <c r="J1004" s="134"/>
      <c r="K1004" s="122"/>
    </row>
    <row r="1005" spans="3:11" ht="27.6">
      <c r="C1005" s="159"/>
      <c r="D1005" s="289" t="str">
        <f>+CONCATENATE("TOTAL DE ",D998)</f>
        <v>TOTAL DE EXCAVACION DE ZANJAS MANUAL PARA CIMIENTOS EN TERRENO NORMAL HASRA 1.70M</v>
      </c>
      <c r="E1005" s="270"/>
      <c r="F1005" s="270"/>
      <c r="G1005" s="270"/>
      <c r="H1005" s="270"/>
      <c r="I1005" s="270"/>
      <c r="J1005" s="241">
        <f>+SUM(J1000:J1004)</f>
        <v>2.4989999999999997</v>
      </c>
      <c r="K1005" s="271" t="str">
        <f>+K1003</f>
        <v>M3</v>
      </c>
    </row>
    <row r="1007" spans="3:11">
      <c r="C1007" s="159">
        <f>C998+0.0001</f>
        <v>9.0103999999999989</v>
      </c>
      <c r="D1007" s="248" t="str">
        <f>RESUMEN!D133</f>
        <v xml:space="preserve">   POSTE DE C° A° H=12M</v>
      </c>
    </row>
    <row r="1008" spans="3:11" ht="14.4" thickBot="1">
      <c r="C1008" s="159"/>
      <c r="D1008" s="115" t="s">
        <v>19</v>
      </c>
      <c r="E1008" s="115" t="s">
        <v>13</v>
      </c>
      <c r="F1008" s="116" t="s">
        <v>4</v>
      </c>
      <c r="G1008" s="116" t="s">
        <v>5</v>
      </c>
      <c r="H1008" s="116" t="s">
        <v>6</v>
      </c>
      <c r="I1008" s="116" t="s">
        <v>11</v>
      </c>
      <c r="J1008" s="116" t="s">
        <v>7</v>
      </c>
      <c r="K1008" s="115" t="s">
        <v>3</v>
      </c>
    </row>
    <row r="1009" spans="3:11" ht="14.4" thickTop="1">
      <c r="C1009" s="159"/>
      <c r="D1009" s="121"/>
      <c r="E1009" s="134"/>
      <c r="F1009" s="134"/>
      <c r="G1009" s="134"/>
      <c r="H1009" s="134"/>
      <c r="I1009" s="134"/>
      <c r="J1009" s="134"/>
      <c r="K1009" s="122"/>
    </row>
    <row r="1010" spans="3:11">
      <c r="C1010" s="159"/>
      <c r="D1010" s="244" t="s">
        <v>501</v>
      </c>
      <c r="E1010" s="134"/>
      <c r="F1010" s="134"/>
      <c r="G1010" s="134"/>
      <c r="H1010" s="134"/>
      <c r="I1010" s="134"/>
      <c r="J1010" s="134"/>
      <c r="K1010" s="122"/>
    </row>
    <row r="1011" spans="3:11" ht="6.6" customHeight="1">
      <c r="C1011" s="159"/>
      <c r="D1011" s="131" t="s">
        <v>496</v>
      </c>
      <c r="E1011" s="134">
        <v>1</v>
      </c>
      <c r="F1011" s="134">
        <v>3</v>
      </c>
      <c r="G1011" s="134"/>
      <c r="H1011" s="134"/>
      <c r="I1011" s="134"/>
      <c r="J1011" s="134">
        <f t="shared" ref="J1011" si="26">+PRODUCT(E1011:I1011)</f>
        <v>3</v>
      </c>
      <c r="K1011" s="123" t="s">
        <v>3</v>
      </c>
    </row>
    <row r="1012" spans="3:11">
      <c r="C1012" s="159"/>
      <c r="D1012" s="131"/>
      <c r="E1012" s="134"/>
      <c r="F1012" s="134"/>
      <c r="G1012" s="134"/>
      <c r="H1012" s="134"/>
      <c r="I1012" s="134"/>
      <c r="J1012" s="134"/>
      <c r="K1012" s="122"/>
    </row>
    <row r="1013" spans="3:11">
      <c r="C1013" s="159"/>
      <c r="D1013" s="289" t="str">
        <f>+CONCATENATE("TOTAL DE ",D1007)</f>
        <v>TOTAL DE    POSTE DE C° A° H=12M</v>
      </c>
      <c r="E1013" s="270"/>
      <c r="F1013" s="270"/>
      <c r="G1013" s="270"/>
      <c r="H1013" s="270"/>
      <c r="I1013" s="270"/>
      <c r="J1013" s="241">
        <f>+SUM(J1009:J1012)</f>
        <v>3</v>
      </c>
      <c r="K1013" s="271" t="str">
        <f>+K1011</f>
        <v>UND</v>
      </c>
    </row>
    <row r="1014" spans="3:11">
      <c r="C1014" s="159"/>
      <c r="D1014" s="221"/>
      <c r="E1014" s="132"/>
      <c r="F1014" s="132"/>
      <c r="G1014" s="132"/>
      <c r="H1014" s="132"/>
      <c r="I1014" s="132"/>
      <c r="J1014" s="132"/>
      <c r="K1014" s="120"/>
    </row>
    <row r="1015" spans="3:11">
      <c r="C1015" s="158">
        <f>+C980+0.01</f>
        <v>9.02</v>
      </c>
      <c r="D1015" s="242" t="str">
        <f>RESUMEN!D134</f>
        <v>SUMINISTRO Y MONTAJE DE CABLES DE ENERGIA</v>
      </c>
    </row>
    <row r="1016" spans="3:11">
      <c r="C1016" s="159">
        <f>C1015+0.0001</f>
        <v>9.0200999999999993</v>
      </c>
      <c r="D1016" s="248" t="str">
        <f>RESUMEN!D135</f>
        <v xml:space="preserve">   CABLE ELECTRICO NYY - 10mm2</v>
      </c>
    </row>
    <row r="1017" spans="3:11" ht="14.4" thickBot="1">
      <c r="C1017" s="159"/>
      <c r="D1017" s="115" t="s">
        <v>19</v>
      </c>
      <c r="E1017" s="115" t="s">
        <v>13</v>
      </c>
      <c r="F1017" s="116" t="s">
        <v>4</v>
      </c>
      <c r="G1017" s="116" t="s">
        <v>5</v>
      </c>
      <c r="H1017" s="116" t="s">
        <v>6</v>
      </c>
      <c r="I1017" s="116" t="s">
        <v>11</v>
      </c>
      <c r="J1017" s="116" t="s">
        <v>7</v>
      </c>
      <c r="K1017" s="115" t="s">
        <v>3</v>
      </c>
    </row>
    <row r="1018" spans="3:11" ht="14.4" thickTop="1">
      <c r="C1018" s="159"/>
      <c r="D1018" s="121"/>
      <c r="E1018" s="134"/>
      <c r="F1018" s="134"/>
      <c r="G1018" s="134"/>
      <c r="H1018" s="134"/>
      <c r="I1018" s="134"/>
      <c r="J1018" s="134"/>
      <c r="K1018" s="122"/>
    </row>
    <row r="1019" spans="3:11">
      <c r="C1019" s="159"/>
      <c r="D1019" s="244" t="s">
        <v>504</v>
      </c>
      <c r="E1019" s="134"/>
      <c r="F1019" s="134"/>
      <c r="G1019" s="134"/>
      <c r="H1019" s="134"/>
      <c r="I1019" s="134"/>
      <c r="J1019" s="134"/>
      <c r="K1019" s="122"/>
    </row>
    <row r="1020" spans="3:11">
      <c r="C1020" s="159"/>
      <c r="D1020" s="131" t="s">
        <v>503</v>
      </c>
      <c r="E1020" s="134">
        <v>1</v>
      </c>
      <c r="F1020" s="134">
        <v>1</v>
      </c>
      <c r="G1020" s="134">
        <f>35.4804+20.1844+6.6867</f>
        <v>62.351500000000001</v>
      </c>
      <c r="H1020" s="134"/>
      <c r="I1020" s="134"/>
      <c r="J1020" s="134">
        <f t="shared" ref="J1020" si="27">+PRODUCT(E1020:I1020)</f>
        <v>62.351500000000001</v>
      </c>
      <c r="K1020" s="122"/>
    </row>
    <row r="1021" spans="3:11">
      <c r="C1021" s="159"/>
      <c r="D1021" s="131"/>
      <c r="E1021" s="134"/>
      <c r="F1021" s="134"/>
      <c r="G1021" s="134"/>
      <c r="H1021" s="134"/>
      <c r="I1021" s="134"/>
      <c r="J1021" s="134"/>
      <c r="K1021" s="122"/>
    </row>
    <row r="1022" spans="3:11">
      <c r="C1022" s="159"/>
      <c r="D1022" s="289" t="str">
        <f>+CONCATENATE("TOTAL DE ",D1016)</f>
        <v>TOTAL DE    CABLE ELECTRICO NYY - 10mm2</v>
      </c>
      <c r="E1022" s="270"/>
      <c r="F1022" s="270"/>
      <c r="G1022" s="270"/>
      <c r="H1022" s="270"/>
      <c r="I1022" s="270"/>
      <c r="J1022" s="241">
        <f>+SUM(J1018:J1021)</f>
        <v>62.351500000000001</v>
      </c>
      <c r="K1022" s="271" t="s">
        <v>601</v>
      </c>
    </row>
    <row r="1023" spans="3:11" ht="6.6" customHeight="1">
      <c r="C1023" s="159"/>
      <c r="D1023" s="221"/>
      <c r="E1023" s="132"/>
      <c r="F1023" s="132"/>
      <c r="G1023" s="132"/>
      <c r="H1023" s="132"/>
      <c r="I1023" s="132"/>
      <c r="J1023" s="132"/>
      <c r="K1023" s="120"/>
    </row>
    <row r="1024" spans="3:11">
      <c r="C1024" s="158">
        <f>+C1015+0.01</f>
        <v>9.0299999999999994</v>
      </c>
      <c r="D1024" s="242" t="str">
        <f>RESUMEN!D136</f>
        <v>SUMINISTRO E INSTALACION DE REFLECTORES Y ACCESORIOS</v>
      </c>
    </row>
    <row r="1025" spans="3:11">
      <c r="C1025" s="159">
        <f>C1024+0.0001</f>
        <v>9.0300999999999991</v>
      </c>
      <c r="D1025" s="248" t="str">
        <f>RESUMEN!D137</f>
        <v xml:space="preserve">    LAMPARA LED 18000 LUM 3*180W</v>
      </c>
    </row>
    <row r="1026" spans="3:11" ht="14.4" thickBot="1">
      <c r="C1026" s="159"/>
      <c r="D1026" s="115" t="s">
        <v>19</v>
      </c>
      <c r="E1026" s="115" t="s">
        <v>13</v>
      </c>
      <c r="F1026" s="116" t="s">
        <v>4</v>
      </c>
      <c r="G1026" s="116" t="s">
        <v>5</v>
      </c>
      <c r="H1026" s="116" t="s">
        <v>6</v>
      </c>
      <c r="I1026" s="116" t="s">
        <v>11</v>
      </c>
      <c r="J1026" s="116" t="s">
        <v>7</v>
      </c>
      <c r="K1026" s="115" t="s">
        <v>3</v>
      </c>
    </row>
    <row r="1027" spans="3:11" ht="14.4" thickTop="1">
      <c r="C1027" s="159"/>
      <c r="D1027" s="121"/>
      <c r="E1027" s="134"/>
      <c r="F1027" s="134"/>
      <c r="G1027" s="134"/>
      <c r="H1027" s="134"/>
      <c r="I1027" s="134"/>
      <c r="J1027" s="134"/>
      <c r="K1027" s="122"/>
    </row>
    <row r="1028" spans="3:11">
      <c r="C1028" s="159"/>
      <c r="D1028" s="244" t="s">
        <v>506</v>
      </c>
      <c r="E1028" s="134"/>
      <c r="F1028" s="134"/>
      <c r="G1028" s="134"/>
      <c r="H1028" s="134"/>
      <c r="I1028" s="134"/>
      <c r="J1028" s="134"/>
      <c r="K1028" s="122"/>
    </row>
    <row r="1029" spans="3:11">
      <c r="C1029" s="159"/>
      <c r="D1029" s="244"/>
      <c r="E1029" s="134"/>
      <c r="F1029" s="134"/>
      <c r="G1029" s="134"/>
      <c r="H1029" s="134"/>
      <c r="I1029" s="147"/>
      <c r="J1029" s="134"/>
      <c r="K1029" s="144"/>
    </row>
    <row r="1030" spans="3:11">
      <c r="C1030" s="159"/>
      <c r="D1030" s="131" t="s">
        <v>496</v>
      </c>
      <c r="E1030" s="134">
        <v>1</v>
      </c>
      <c r="F1030" s="134">
        <v>9</v>
      </c>
      <c r="G1030" s="134"/>
      <c r="H1030" s="134"/>
      <c r="I1030" s="134"/>
      <c r="J1030" s="134">
        <f t="shared" ref="J1030" si="28">+PRODUCT(E1030:I1030)</f>
        <v>9</v>
      </c>
      <c r="K1030" s="123" t="s">
        <v>3</v>
      </c>
    </row>
    <row r="1031" spans="3:11">
      <c r="C1031" s="159"/>
      <c r="D1031" s="131"/>
      <c r="E1031" s="134"/>
      <c r="F1031" s="134"/>
      <c r="G1031" s="134"/>
      <c r="H1031" s="134"/>
      <c r="I1031" s="134"/>
      <c r="J1031" s="134"/>
      <c r="K1031" s="122"/>
    </row>
    <row r="1032" spans="3:11" ht="6.6" customHeight="1">
      <c r="C1032" s="159"/>
      <c r="D1032" s="289" t="str">
        <f>+CONCATENATE("TOTAL DE ",D1025)</f>
        <v>TOTAL DE     LAMPARA LED 18000 LUM 3*180W</v>
      </c>
      <c r="E1032" s="270"/>
      <c r="F1032" s="270"/>
      <c r="G1032" s="270"/>
      <c r="H1032" s="270"/>
      <c r="I1032" s="270"/>
      <c r="J1032" s="241">
        <f>+SUM(J1027:J1031)</f>
        <v>9</v>
      </c>
      <c r="K1032" s="271" t="str">
        <f>+K1030</f>
        <v>UND</v>
      </c>
    </row>
    <row r="1033" spans="3:11">
      <c r="C1033" s="159"/>
      <c r="D1033" s="221"/>
      <c r="E1033" s="132"/>
      <c r="F1033" s="132"/>
      <c r="G1033" s="132"/>
      <c r="H1033" s="132"/>
      <c r="I1033" s="132"/>
      <c r="J1033" s="132"/>
      <c r="K1033" s="120"/>
    </row>
    <row r="1034" spans="3:11">
      <c r="C1034" s="158">
        <f>+C1024+0.01</f>
        <v>9.0399999999999991</v>
      </c>
      <c r="D1034" s="242" t="str">
        <f>RESUMEN!D138</f>
        <v>VARIOS</v>
      </c>
    </row>
    <row r="1035" spans="3:11">
      <c r="C1035" s="159">
        <f>C1034+0.0001</f>
        <v>9.0400999999999989</v>
      </c>
      <c r="D1035" s="248" t="str">
        <f>RESUMEN!D139</f>
        <v xml:space="preserve">   PUESTA A TIERRA</v>
      </c>
    </row>
    <row r="1036" spans="3:11" ht="14.4" thickBot="1">
      <c r="C1036" s="159"/>
      <c r="D1036" s="115" t="s">
        <v>19</v>
      </c>
      <c r="E1036" s="115" t="s">
        <v>13</v>
      </c>
      <c r="F1036" s="116" t="s">
        <v>4</v>
      </c>
      <c r="G1036" s="116" t="s">
        <v>5</v>
      </c>
      <c r="H1036" s="116" t="s">
        <v>6</v>
      </c>
      <c r="I1036" s="116" t="s">
        <v>11</v>
      </c>
      <c r="J1036" s="116" t="s">
        <v>7</v>
      </c>
      <c r="K1036" s="115" t="s">
        <v>3</v>
      </c>
    </row>
    <row r="1037" spans="3:11" ht="14.4" thickTop="1">
      <c r="C1037" s="159"/>
      <c r="D1037" s="121"/>
      <c r="E1037" s="134"/>
      <c r="F1037" s="134"/>
      <c r="G1037" s="134"/>
      <c r="H1037" s="134"/>
      <c r="I1037" s="134"/>
      <c r="J1037" s="134"/>
      <c r="K1037" s="122"/>
    </row>
    <row r="1038" spans="3:11">
      <c r="C1038" s="159"/>
      <c r="D1038" s="244" t="s">
        <v>508</v>
      </c>
      <c r="E1038" s="134"/>
      <c r="F1038" s="134"/>
      <c r="G1038" s="134"/>
      <c r="H1038" s="134"/>
      <c r="I1038" s="134"/>
      <c r="J1038" s="134"/>
      <c r="K1038" s="122"/>
    </row>
    <row r="1039" spans="3:11">
      <c r="C1039" s="159"/>
      <c r="D1039" s="244"/>
      <c r="E1039" s="134"/>
      <c r="F1039" s="134"/>
      <c r="G1039" s="134"/>
      <c r="H1039" s="134"/>
      <c r="I1039" s="147"/>
      <c r="J1039" s="134"/>
      <c r="K1039" s="144"/>
    </row>
    <row r="1040" spans="3:11">
      <c r="C1040" s="159"/>
      <c r="D1040" s="131" t="s">
        <v>496</v>
      </c>
      <c r="E1040" s="134">
        <v>1</v>
      </c>
      <c r="F1040" s="134">
        <v>1</v>
      </c>
      <c r="G1040" s="134"/>
      <c r="H1040" s="134"/>
      <c r="I1040" s="134"/>
      <c r="J1040" s="134">
        <f t="shared" ref="J1040" si="29">+PRODUCT(E1040:I1040)</f>
        <v>1</v>
      </c>
      <c r="K1040" s="123" t="s">
        <v>17</v>
      </c>
    </row>
    <row r="1041" spans="3:11" ht="7.8" customHeight="1">
      <c r="C1041" s="159"/>
      <c r="D1041" s="131"/>
      <c r="E1041" s="134"/>
      <c r="F1041" s="134"/>
      <c r="G1041" s="134"/>
      <c r="H1041" s="134"/>
      <c r="I1041" s="134"/>
      <c r="J1041" s="134"/>
      <c r="K1041" s="122"/>
    </row>
    <row r="1042" spans="3:11">
      <c r="C1042" s="159"/>
      <c r="D1042" s="289" t="str">
        <f>+CONCATENATE("TOTAL DE ",D1035)</f>
        <v>TOTAL DE    PUESTA A TIERRA</v>
      </c>
      <c r="E1042" s="270"/>
      <c r="F1042" s="270"/>
      <c r="G1042" s="270"/>
      <c r="H1042" s="270"/>
      <c r="I1042" s="270"/>
      <c r="J1042" s="241">
        <f>+SUM(J1037:J1041)</f>
        <v>1</v>
      </c>
      <c r="K1042" s="271" t="str">
        <f>+K1040</f>
        <v>GLB</v>
      </c>
    </row>
    <row r="1043" spans="3:11">
      <c r="C1043" s="159"/>
      <c r="D1043" s="243"/>
    </row>
    <row r="1044" spans="3:11">
      <c r="C1044" s="159">
        <f>C1035+0.0001</f>
        <v>9.0401999999999987</v>
      </c>
      <c r="D1044" s="248" t="str">
        <f>RESUMEN!D140</f>
        <v xml:space="preserve">   EMPALME A LA RED EXISTENTE DE ELECTRICIDAD</v>
      </c>
    </row>
    <row r="1045" spans="3:11" ht="14.4" thickBot="1">
      <c r="C1045" s="159"/>
      <c r="D1045" s="115" t="s">
        <v>19</v>
      </c>
      <c r="E1045" s="115" t="s">
        <v>13</v>
      </c>
      <c r="F1045" s="116" t="s">
        <v>4</v>
      </c>
      <c r="G1045" s="116" t="s">
        <v>5</v>
      </c>
      <c r="H1045" s="116" t="s">
        <v>6</v>
      </c>
      <c r="I1045" s="116" t="s">
        <v>11</v>
      </c>
      <c r="J1045" s="116" t="s">
        <v>7</v>
      </c>
      <c r="K1045" s="115" t="s">
        <v>3</v>
      </c>
    </row>
    <row r="1046" spans="3:11" ht="14.4" thickTop="1">
      <c r="C1046" s="159"/>
      <c r="D1046" s="121"/>
      <c r="E1046" s="134"/>
      <c r="F1046" s="134"/>
      <c r="G1046" s="134"/>
      <c r="H1046" s="134"/>
      <c r="I1046" s="134"/>
      <c r="J1046" s="134"/>
      <c r="K1046" s="122"/>
    </row>
    <row r="1047" spans="3:11">
      <c r="C1047" s="159"/>
      <c r="D1047" s="313" t="s">
        <v>509</v>
      </c>
      <c r="E1047" s="134"/>
      <c r="F1047" s="134"/>
      <c r="G1047" s="134"/>
      <c r="H1047" s="134"/>
      <c r="I1047" s="134"/>
      <c r="J1047" s="134"/>
      <c r="K1047" s="122"/>
    </row>
    <row r="1048" spans="3:11">
      <c r="C1048" s="159"/>
      <c r="D1048" s="313"/>
      <c r="E1048" s="134"/>
      <c r="F1048" s="134"/>
      <c r="G1048" s="134"/>
      <c r="H1048" s="134"/>
      <c r="I1048" s="134"/>
      <c r="J1048" s="134"/>
      <c r="K1048" s="123" t="s">
        <v>17</v>
      </c>
    </row>
    <row r="1049" spans="3:11">
      <c r="C1049" s="159"/>
      <c r="D1049" s="313"/>
      <c r="E1049" s="134"/>
      <c r="F1049" s="134"/>
      <c r="G1049" s="134"/>
      <c r="H1049" s="134"/>
      <c r="I1049" s="147"/>
      <c r="J1049" s="134"/>
      <c r="K1049" s="144"/>
    </row>
    <row r="1050" spans="3:11">
      <c r="C1050" s="159"/>
      <c r="D1050" s="244" t="s">
        <v>510</v>
      </c>
      <c r="E1050" s="134">
        <v>1</v>
      </c>
      <c r="F1050" s="134">
        <v>1</v>
      </c>
      <c r="G1050" s="134"/>
      <c r="H1050" s="134"/>
      <c r="I1050" s="134"/>
      <c r="J1050" s="134">
        <f t="shared" ref="J1050" si="30">+PRODUCT(E1050:I1050)</f>
        <v>1</v>
      </c>
      <c r="K1050" s="122"/>
    </row>
    <row r="1051" spans="3:11">
      <c r="C1051" s="159"/>
      <c r="D1051" s="131"/>
      <c r="E1051" s="134"/>
      <c r="F1051" s="134"/>
      <c r="G1051" s="134"/>
      <c r="H1051" s="134"/>
      <c r="I1051" s="134"/>
      <c r="J1051" s="134"/>
      <c r="K1051" s="122"/>
    </row>
    <row r="1052" spans="3:11">
      <c r="C1052" s="159"/>
      <c r="D1052" s="110" t="str">
        <f>+CONCATENATE("TOTAL DE ",D1044)</f>
        <v>TOTAL DE    EMPALME A LA RED EXISTENTE DE ELECTRICIDAD</v>
      </c>
      <c r="E1052" s="135"/>
      <c r="F1052" s="135"/>
      <c r="G1052" s="135"/>
      <c r="H1052" s="135"/>
      <c r="I1052" s="135"/>
      <c r="J1052" s="136">
        <f>+SUM(J1046:J1051)</f>
        <v>1</v>
      </c>
      <c r="K1052" s="124" t="str">
        <f>+K1048</f>
        <v>GLB</v>
      </c>
    </row>
    <row r="1053" spans="3:11">
      <c r="C1053" s="159"/>
      <c r="D1053" s="245"/>
      <c r="E1053" s="146"/>
      <c r="F1053" s="146"/>
      <c r="G1053" s="146"/>
      <c r="H1053" s="146"/>
      <c r="I1053" s="146"/>
      <c r="J1053" s="146"/>
      <c r="K1053" s="126"/>
    </row>
    <row r="1054" spans="3:11">
      <c r="C1054" s="158"/>
      <c r="D1054" s="242"/>
    </row>
    <row r="1055" spans="3:11">
      <c r="C1055" s="157">
        <v>10</v>
      </c>
      <c r="D1055" s="139" t="str">
        <f>RESUMEN!D141</f>
        <v>MOBILIARIO URBANO</v>
      </c>
      <c r="E1055" s="132"/>
      <c r="F1055" s="132"/>
      <c r="G1055" s="132"/>
      <c r="H1055" s="132"/>
      <c r="I1055" s="132"/>
      <c r="J1055" s="132"/>
      <c r="K1055" s="120"/>
    </row>
    <row r="1056" spans="3:11">
      <c r="C1056" s="158">
        <f>C1055+0.01</f>
        <v>10.01</v>
      </c>
      <c r="D1056" s="182" t="str">
        <f>RESUMEN!D142</f>
        <v>SUMINISTRO E INSTALACION DE JUEGOS INFANTILES</v>
      </c>
    </row>
    <row r="1057" spans="3:11" ht="14.4" thickBot="1">
      <c r="C1057" s="159"/>
      <c r="D1057" s="115" t="s">
        <v>19</v>
      </c>
      <c r="E1057" s="115" t="s">
        <v>13</v>
      </c>
      <c r="F1057" s="116" t="s">
        <v>4</v>
      </c>
      <c r="G1057" s="116" t="s">
        <v>5</v>
      </c>
      <c r="H1057" s="116" t="s">
        <v>6</v>
      </c>
      <c r="I1057" s="116" t="s">
        <v>11</v>
      </c>
      <c r="J1057" s="116" t="s">
        <v>7</v>
      </c>
      <c r="K1057" s="115" t="s">
        <v>3</v>
      </c>
    </row>
    <row r="1058" spans="3:11" ht="14.4" thickTop="1">
      <c r="C1058" s="159"/>
      <c r="D1058" s="121"/>
      <c r="E1058" s="134"/>
      <c r="F1058" s="134"/>
      <c r="G1058" s="134"/>
      <c r="H1058" s="134"/>
      <c r="I1058" s="134"/>
      <c r="J1058" s="134"/>
      <c r="K1058" s="122"/>
    </row>
    <row r="1059" spans="3:11">
      <c r="C1059" s="159"/>
      <c r="D1059" s="311" t="s">
        <v>411</v>
      </c>
      <c r="E1059" s="134"/>
      <c r="F1059" s="134"/>
      <c r="G1059" s="134"/>
      <c r="H1059" s="134"/>
      <c r="I1059" s="134"/>
      <c r="J1059" s="134"/>
      <c r="K1059" s="122"/>
    </row>
    <row r="1060" spans="3:11">
      <c r="C1060" s="159"/>
      <c r="D1060" s="311"/>
      <c r="E1060" s="134">
        <v>1</v>
      </c>
      <c r="F1060" s="134">
        <v>1</v>
      </c>
      <c r="G1060" s="134"/>
      <c r="H1060" s="134"/>
      <c r="I1060" s="134"/>
      <c r="J1060" s="134">
        <f>+PRODUCT(E1060:I1060)</f>
        <v>1</v>
      </c>
      <c r="K1060" s="123" t="s">
        <v>17</v>
      </c>
    </row>
    <row r="1061" spans="3:11">
      <c r="C1061" s="159"/>
      <c r="D1061" s="311"/>
      <c r="E1061" s="134"/>
      <c r="F1061" s="134"/>
      <c r="G1061" s="134"/>
      <c r="H1061" s="134"/>
      <c r="I1061" s="134"/>
      <c r="J1061" s="146"/>
      <c r="K1061" s="122"/>
    </row>
    <row r="1062" spans="3:11">
      <c r="C1062" s="159"/>
      <c r="D1062" s="110" t="str">
        <f>+CONCATENATE("TOTAL DE ",D1056)</f>
        <v>TOTAL DE SUMINISTRO E INSTALACION DE JUEGOS INFANTILES</v>
      </c>
      <c r="E1062" s="135"/>
      <c r="F1062" s="135"/>
      <c r="G1062" s="135"/>
      <c r="H1062" s="135"/>
      <c r="I1062" s="135"/>
      <c r="J1062" s="136">
        <f>+SUM(J1058:J1061)</f>
        <v>1</v>
      </c>
      <c r="K1062" s="124" t="str">
        <f>+K1060</f>
        <v>GLB</v>
      </c>
    </row>
    <row r="1063" spans="3:11">
      <c r="C1063" s="159"/>
      <c r="D1063" s="245"/>
      <c r="E1063" s="146"/>
      <c r="F1063" s="146"/>
      <c r="G1063" s="146"/>
      <c r="H1063" s="146"/>
      <c r="I1063" s="146"/>
      <c r="J1063" s="146"/>
      <c r="K1063" s="126"/>
    </row>
    <row r="1064" spans="3:11">
      <c r="C1064" s="159"/>
      <c r="E1064" s="132"/>
      <c r="F1064" s="132"/>
      <c r="G1064" s="132"/>
      <c r="H1064" s="132"/>
      <c r="I1064" s="132"/>
      <c r="J1064" s="132"/>
      <c r="K1064" s="120"/>
    </row>
    <row r="1065" spans="3:11">
      <c r="C1065" s="158">
        <f>C1056+0.01</f>
        <v>10.02</v>
      </c>
      <c r="D1065" s="182" t="str">
        <f>RESUMEN!D143</f>
        <v>SUMINISTRO E INSTALACION DE MINI GYM</v>
      </c>
      <c r="E1065" s="132"/>
      <c r="F1065" s="132"/>
      <c r="G1065" s="132"/>
      <c r="H1065" s="132"/>
      <c r="I1065" s="132"/>
      <c r="J1065" s="132"/>
      <c r="K1065" s="113"/>
    </row>
    <row r="1066" spans="3:11" ht="14.4" thickBot="1">
      <c r="C1066" s="159"/>
      <c r="D1066" s="115" t="s">
        <v>19</v>
      </c>
      <c r="E1066" s="115" t="s">
        <v>13</v>
      </c>
      <c r="F1066" s="116" t="s">
        <v>4</v>
      </c>
      <c r="G1066" s="116" t="s">
        <v>5</v>
      </c>
      <c r="H1066" s="116" t="s">
        <v>6</v>
      </c>
      <c r="I1066" s="116" t="s">
        <v>11</v>
      </c>
      <c r="J1066" s="116" t="s">
        <v>7</v>
      </c>
      <c r="K1066" s="115" t="s">
        <v>3</v>
      </c>
    </row>
    <row r="1067" spans="3:11" ht="14.4" thickTop="1">
      <c r="C1067" s="159"/>
      <c r="D1067" s="121"/>
      <c r="E1067" s="134"/>
      <c r="F1067" s="134"/>
      <c r="G1067" s="134"/>
      <c r="H1067" s="134"/>
      <c r="I1067" s="134"/>
      <c r="J1067" s="134"/>
      <c r="K1067" s="122"/>
    </row>
    <row r="1068" spans="3:11">
      <c r="C1068" s="159"/>
      <c r="D1068" s="311" t="s">
        <v>450</v>
      </c>
      <c r="E1068" s="134"/>
      <c r="F1068" s="134"/>
      <c r="G1068" s="134"/>
      <c r="H1068" s="134"/>
      <c r="I1068" s="134"/>
      <c r="J1068" s="134"/>
      <c r="K1068" s="122"/>
    </row>
    <row r="1069" spans="3:11">
      <c r="C1069" s="159"/>
      <c r="D1069" s="311"/>
      <c r="E1069" s="134">
        <v>1</v>
      </c>
      <c r="F1069" s="134">
        <v>1</v>
      </c>
      <c r="G1069" s="134"/>
      <c r="H1069" s="134"/>
      <c r="I1069" s="134"/>
      <c r="J1069" s="134">
        <f>+PRODUCT(E1069:I1069)</f>
        <v>1</v>
      </c>
      <c r="K1069" s="123" t="s">
        <v>17</v>
      </c>
    </row>
    <row r="1070" spans="3:11">
      <c r="C1070" s="159"/>
      <c r="D1070" s="311"/>
      <c r="E1070" s="134"/>
      <c r="F1070" s="134"/>
      <c r="G1070" s="134"/>
      <c r="H1070" s="134"/>
      <c r="I1070" s="134"/>
      <c r="J1070" s="146"/>
      <c r="K1070" s="122"/>
    </row>
    <row r="1071" spans="3:11">
      <c r="C1071" s="159"/>
      <c r="D1071" s="111" t="str">
        <f>+CONCATENATE("TOTAL DE ",D1065)</f>
        <v>TOTAL DE SUMINISTRO E INSTALACION DE MINI GYM</v>
      </c>
      <c r="E1071" s="135"/>
      <c r="F1071" s="135"/>
      <c r="G1071" s="135"/>
      <c r="H1071" s="135"/>
      <c r="I1071" s="135"/>
      <c r="J1071" s="136">
        <f>+SUM(J1067:J1070)</f>
        <v>1</v>
      </c>
      <c r="K1071" s="124" t="str">
        <f>+K1069</f>
        <v>GLB</v>
      </c>
    </row>
    <row r="1072" spans="3:11">
      <c r="C1072" s="159"/>
      <c r="D1072" s="245"/>
      <c r="E1072" s="146"/>
      <c r="F1072" s="146"/>
      <c r="G1072" s="146"/>
      <c r="H1072" s="146"/>
      <c r="I1072" s="146"/>
      <c r="J1072" s="146"/>
      <c r="K1072" s="126"/>
    </row>
    <row r="1074" spans="3:11">
      <c r="C1074" s="158">
        <f>C1065+0.01</f>
        <v>10.029999999999999</v>
      </c>
      <c r="D1074" s="182" t="str">
        <f>RESUMEN!D144</f>
        <v>SUMINISTRO E INSTALACION DE ARCOS DE FUTBOL CON ARO PARA BASQUET.</v>
      </c>
      <c r="E1074" s="132"/>
      <c r="F1074" s="132"/>
      <c r="G1074" s="132"/>
      <c r="H1074" s="132"/>
      <c r="I1074" s="132"/>
      <c r="J1074" s="132"/>
      <c r="K1074" s="120"/>
    </row>
    <row r="1075" spans="3:11" ht="14.4" thickBot="1">
      <c r="C1075" s="159"/>
      <c r="D1075" s="115" t="s">
        <v>19</v>
      </c>
      <c r="E1075" s="115" t="s">
        <v>13</v>
      </c>
      <c r="F1075" s="116" t="s">
        <v>4</v>
      </c>
      <c r="G1075" s="116" t="s">
        <v>5</v>
      </c>
      <c r="H1075" s="116" t="s">
        <v>6</v>
      </c>
      <c r="I1075" s="116" t="s">
        <v>11</v>
      </c>
      <c r="J1075" s="116" t="s">
        <v>7</v>
      </c>
      <c r="K1075" s="115" t="s">
        <v>3</v>
      </c>
    </row>
    <row r="1076" spans="3:11" ht="14.4" thickTop="1">
      <c r="C1076" s="159"/>
      <c r="D1076" s="121"/>
      <c r="E1076" s="134"/>
      <c r="F1076" s="134"/>
      <c r="G1076" s="134"/>
      <c r="H1076" s="134"/>
      <c r="I1076" s="134"/>
      <c r="J1076" s="134"/>
      <c r="K1076" s="122"/>
    </row>
    <row r="1077" spans="3:11">
      <c r="C1077" s="159"/>
      <c r="D1077" s="311" t="s">
        <v>451</v>
      </c>
      <c r="E1077" s="134"/>
      <c r="F1077" s="134"/>
      <c r="G1077" s="134"/>
      <c r="H1077" s="134"/>
      <c r="I1077" s="134"/>
      <c r="J1077" s="134"/>
      <c r="K1077" s="122"/>
    </row>
    <row r="1078" spans="3:11">
      <c r="C1078" s="159"/>
      <c r="D1078" s="311"/>
      <c r="E1078" s="134">
        <v>1</v>
      </c>
      <c r="F1078" s="134">
        <v>2</v>
      </c>
      <c r="G1078" s="134"/>
      <c r="H1078" s="134"/>
      <c r="I1078" s="134"/>
      <c r="J1078" s="134">
        <f>+PRODUCT(E1078:I1078)</f>
        <v>2</v>
      </c>
      <c r="K1078" s="123" t="s">
        <v>64</v>
      </c>
    </row>
    <row r="1079" spans="3:11">
      <c r="C1079" s="159"/>
      <c r="D1079" s="311"/>
      <c r="E1079" s="134"/>
      <c r="F1079" s="134"/>
      <c r="G1079" s="134"/>
      <c r="H1079" s="134"/>
      <c r="I1079" s="134"/>
      <c r="J1079" s="146"/>
      <c r="K1079" s="122"/>
    </row>
    <row r="1080" spans="3:11" ht="27.6">
      <c r="C1080" s="159"/>
      <c r="D1080" s="111" t="str">
        <f>+CONCATENATE("TOTAL DE ",D1074)</f>
        <v>TOTAL DE SUMINISTRO E INSTALACION DE ARCOS DE FUTBOL CON ARO PARA BASQUET.</v>
      </c>
      <c r="E1080" s="135"/>
      <c r="F1080" s="135"/>
      <c r="G1080" s="135"/>
      <c r="H1080" s="135"/>
      <c r="I1080" s="135"/>
      <c r="J1080" s="136">
        <f>+SUM(J1076:J1079)</f>
        <v>2</v>
      </c>
      <c r="K1080" s="124" t="str">
        <f>+K1078</f>
        <v>und</v>
      </c>
    </row>
    <row r="1081" spans="3:11">
      <c r="C1081" s="159"/>
      <c r="D1081" s="245"/>
      <c r="E1081" s="146"/>
      <c r="F1081" s="146"/>
      <c r="G1081" s="146"/>
      <c r="H1081" s="146"/>
      <c r="I1081" s="146"/>
      <c r="J1081" s="146"/>
      <c r="K1081" s="126"/>
    </row>
    <row r="1083" spans="3:11">
      <c r="C1083" s="158">
        <f>C1074+0.01</f>
        <v>10.039999999999999</v>
      </c>
      <c r="D1083" s="182" t="str">
        <f>RESUMEN!D145</f>
        <v xml:space="preserve">SUMINISTRO E INSTALACION DE TACHOS DE BASURA </v>
      </c>
      <c r="E1083" s="132"/>
      <c r="F1083" s="132"/>
      <c r="G1083" s="132"/>
      <c r="H1083" s="132"/>
      <c r="I1083" s="132"/>
      <c r="J1083" s="132"/>
      <c r="K1083" s="120"/>
    </row>
    <row r="1084" spans="3:11" ht="14.4" thickBot="1">
      <c r="C1084" s="159"/>
      <c r="D1084" s="115" t="s">
        <v>19</v>
      </c>
      <c r="E1084" s="115" t="s">
        <v>13</v>
      </c>
      <c r="F1084" s="116" t="s">
        <v>4</v>
      </c>
      <c r="G1084" s="116" t="s">
        <v>5</v>
      </c>
      <c r="H1084" s="116" t="s">
        <v>6</v>
      </c>
      <c r="I1084" s="116" t="s">
        <v>11</v>
      </c>
      <c r="J1084" s="116" t="s">
        <v>7</v>
      </c>
      <c r="K1084" s="115" t="s">
        <v>3</v>
      </c>
    </row>
    <row r="1085" spans="3:11" ht="14.4" thickTop="1">
      <c r="C1085" s="159"/>
      <c r="D1085" s="121"/>
      <c r="E1085" s="134"/>
      <c r="F1085" s="134"/>
      <c r="G1085" s="134"/>
      <c r="H1085" s="134"/>
      <c r="I1085" s="134"/>
      <c r="J1085" s="134"/>
      <c r="K1085" s="122"/>
    </row>
    <row r="1086" spans="3:11">
      <c r="C1086" s="159"/>
      <c r="D1086" s="311" t="s">
        <v>453</v>
      </c>
      <c r="E1086" s="134"/>
      <c r="F1086" s="134"/>
      <c r="G1086" s="134"/>
      <c r="H1086" s="134"/>
      <c r="I1086" s="134"/>
      <c r="J1086" s="134"/>
      <c r="K1086" s="122"/>
    </row>
    <row r="1087" spans="3:11">
      <c r="C1087" s="159"/>
      <c r="D1087" s="311"/>
      <c r="E1087" s="134">
        <v>1</v>
      </c>
      <c r="F1087" s="134">
        <v>7</v>
      </c>
      <c r="G1087" s="134"/>
      <c r="H1087" s="134"/>
      <c r="I1087" s="134"/>
      <c r="J1087" s="134">
        <f>+PRODUCT(E1087:I1087)</f>
        <v>7</v>
      </c>
      <c r="K1087" s="123" t="s">
        <v>17</v>
      </c>
    </row>
    <row r="1088" spans="3:11">
      <c r="C1088" s="159"/>
      <c r="D1088" s="311"/>
      <c r="E1088" s="134"/>
      <c r="F1088" s="134"/>
      <c r="G1088" s="134"/>
      <c r="H1088" s="134"/>
      <c r="I1088" s="134"/>
      <c r="J1088" s="146"/>
      <c r="K1088" s="122"/>
    </row>
    <row r="1089" spans="3:11">
      <c r="C1089" s="159"/>
      <c r="D1089" s="111" t="str">
        <f>+CONCATENATE("TOTAL DE ",D1083)</f>
        <v xml:space="preserve">TOTAL DE SUMINISTRO E INSTALACION DE TACHOS DE BASURA </v>
      </c>
      <c r="E1089" s="135"/>
      <c r="F1089" s="135"/>
      <c r="G1089" s="135"/>
      <c r="H1089" s="135"/>
      <c r="I1089" s="135"/>
      <c r="J1089" s="136">
        <f>+SUM(J1085:J1088)</f>
        <v>7</v>
      </c>
      <c r="K1089" s="124" t="str">
        <f>+K1087</f>
        <v>GLB</v>
      </c>
    </row>
    <row r="1090" spans="3:11">
      <c r="C1090" s="159"/>
      <c r="D1090" s="245"/>
      <c r="E1090" s="146"/>
      <c r="F1090" s="146"/>
      <c r="G1090" s="146"/>
      <c r="H1090" s="146"/>
      <c r="I1090" s="146"/>
      <c r="J1090" s="146"/>
      <c r="K1090" s="126"/>
    </row>
    <row r="1092" spans="3:11">
      <c r="C1092" s="158">
        <f>C1083+0.01</f>
        <v>10.049999999999999</v>
      </c>
      <c r="D1092" s="182" t="str">
        <f>RESUMEN!D146</f>
        <v xml:space="preserve">SUMINISTRO E INSTALACION DE PUNTO ECOLÓGICO </v>
      </c>
      <c r="E1092" s="132"/>
      <c r="F1092" s="132"/>
      <c r="G1092" s="132"/>
      <c r="H1092" s="132"/>
      <c r="I1092" s="132"/>
      <c r="J1092" s="132"/>
      <c r="K1092" s="120"/>
    </row>
    <row r="1093" spans="3:11" ht="14.4" thickBot="1">
      <c r="C1093" s="159"/>
      <c r="D1093" s="115" t="s">
        <v>19</v>
      </c>
      <c r="E1093" s="115" t="s">
        <v>13</v>
      </c>
      <c r="F1093" s="116" t="s">
        <v>4</v>
      </c>
      <c r="G1093" s="116" t="s">
        <v>5</v>
      </c>
      <c r="H1093" s="116" t="s">
        <v>6</v>
      </c>
      <c r="I1093" s="116" t="s">
        <v>11</v>
      </c>
      <c r="J1093" s="116" t="s">
        <v>7</v>
      </c>
      <c r="K1093" s="115" t="s">
        <v>3</v>
      </c>
    </row>
    <row r="1094" spans="3:11" ht="14.4" thickTop="1">
      <c r="C1094" s="159"/>
      <c r="D1094" s="311" t="s">
        <v>412</v>
      </c>
      <c r="E1094" s="134"/>
      <c r="F1094" s="134"/>
      <c r="G1094" s="134"/>
      <c r="H1094" s="134"/>
      <c r="I1094" s="134"/>
      <c r="J1094" s="134"/>
      <c r="K1094" s="122"/>
    </row>
    <row r="1095" spans="3:11">
      <c r="C1095" s="159"/>
      <c r="D1095" s="311"/>
      <c r="E1095" s="134">
        <v>1</v>
      </c>
      <c r="F1095" s="134">
        <v>1</v>
      </c>
      <c r="G1095" s="134"/>
      <c r="H1095" s="134"/>
      <c r="I1095" s="134"/>
      <c r="J1095" s="134">
        <f>+PRODUCT(E1095:I1095)</f>
        <v>1</v>
      </c>
      <c r="K1095" s="123" t="s">
        <v>64</v>
      </c>
    </row>
    <row r="1096" spans="3:11">
      <c r="C1096" s="159"/>
      <c r="D1096" s="311"/>
      <c r="E1096" s="134"/>
      <c r="F1096" s="134"/>
      <c r="G1096" s="134"/>
      <c r="H1096" s="134"/>
      <c r="I1096" s="134"/>
      <c r="J1096" s="146"/>
      <c r="K1096" s="122"/>
    </row>
    <row r="1097" spans="3:11">
      <c r="C1097" s="159"/>
      <c r="D1097" s="111" t="str">
        <f>+CONCATENATE("TOTAL DE ",D1092)</f>
        <v xml:space="preserve">TOTAL DE SUMINISTRO E INSTALACION DE PUNTO ECOLÓGICO </v>
      </c>
      <c r="E1097" s="135"/>
      <c r="F1097" s="135"/>
      <c r="G1097" s="135"/>
      <c r="H1097" s="135"/>
      <c r="I1097" s="135"/>
      <c r="J1097" s="136">
        <f>+SUM(J1094:J1096)</f>
        <v>1</v>
      </c>
      <c r="K1097" s="124" t="str">
        <f>+K1095</f>
        <v>und</v>
      </c>
    </row>
    <row r="1098" spans="3:11">
      <c r="C1098" s="159"/>
      <c r="D1098" s="245"/>
      <c r="E1098" s="146"/>
      <c r="F1098" s="146"/>
      <c r="G1098" s="146"/>
      <c r="H1098" s="146"/>
      <c r="I1098" s="146"/>
      <c r="J1098" s="146"/>
      <c r="K1098" s="126"/>
    </row>
    <row r="1100" spans="3:11">
      <c r="C1100" s="158">
        <f>C1092+0.01</f>
        <v>10.059999999999999</v>
      </c>
      <c r="D1100" s="182" t="str">
        <f>RESUMEN!D147</f>
        <v>SUMINISTRO E INSTALACION DE PISO PODOTACTIL</v>
      </c>
      <c r="E1100" s="132"/>
      <c r="F1100" s="132"/>
      <c r="G1100" s="132"/>
      <c r="H1100" s="132"/>
      <c r="I1100" s="132"/>
      <c r="J1100" s="132"/>
      <c r="K1100" s="120"/>
    </row>
    <row r="1101" spans="3:11" ht="14.4" thickBot="1">
      <c r="C1101" s="159"/>
      <c r="D1101" s="115" t="s">
        <v>19</v>
      </c>
      <c r="E1101" s="115" t="s">
        <v>13</v>
      </c>
      <c r="F1101" s="116" t="s">
        <v>4</v>
      </c>
      <c r="G1101" s="116" t="s">
        <v>5</v>
      </c>
      <c r="H1101" s="116" t="s">
        <v>6</v>
      </c>
      <c r="I1101" s="116" t="s">
        <v>11</v>
      </c>
      <c r="J1101" s="116" t="s">
        <v>7</v>
      </c>
      <c r="K1101" s="115" t="s">
        <v>3</v>
      </c>
    </row>
    <row r="1102" spans="3:11" ht="14.4" thickTop="1">
      <c r="C1102" s="159"/>
      <c r="D1102" s="121"/>
      <c r="E1102" s="134"/>
      <c r="F1102" s="134"/>
      <c r="G1102" s="134"/>
      <c r="H1102" s="134"/>
      <c r="I1102" s="134"/>
      <c r="J1102" s="134"/>
      <c r="K1102" s="122"/>
    </row>
    <row r="1103" spans="3:11">
      <c r="C1103" s="159"/>
      <c r="D1103" s="311" t="s">
        <v>454</v>
      </c>
      <c r="E1103" s="134"/>
      <c r="F1103" s="134"/>
      <c r="G1103" s="134"/>
      <c r="H1103" s="134"/>
      <c r="I1103" s="134"/>
      <c r="J1103" s="134"/>
      <c r="K1103" s="122"/>
    </row>
    <row r="1104" spans="3:11">
      <c r="C1104" s="159"/>
      <c r="D1104" s="311"/>
      <c r="E1104" s="134">
        <v>1</v>
      </c>
      <c r="F1104" s="134">
        <v>19.467700000000001</v>
      </c>
      <c r="G1104" s="134"/>
      <c r="H1104" s="134"/>
      <c r="I1104" s="134"/>
      <c r="J1104" s="134">
        <f>+PRODUCT(E1104:I1104)</f>
        <v>19.467700000000001</v>
      </c>
      <c r="K1104" s="123" t="s">
        <v>10</v>
      </c>
    </row>
    <row r="1105" spans="3:14">
      <c r="C1105" s="159"/>
      <c r="D1105" s="311"/>
      <c r="E1105" s="134"/>
      <c r="F1105" s="134"/>
      <c r="G1105" s="134"/>
      <c r="H1105" s="134"/>
      <c r="I1105" s="134"/>
      <c r="J1105" s="146"/>
      <c r="K1105" s="122"/>
    </row>
    <row r="1106" spans="3:14">
      <c r="C1106" s="159"/>
      <c r="D1106" s="111" t="str">
        <f>+CONCATENATE("TOTAL DE ",D1100)</f>
        <v>TOTAL DE SUMINISTRO E INSTALACION DE PISO PODOTACTIL</v>
      </c>
      <c r="E1106" s="135"/>
      <c r="F1106" s="135"/>
      <c r="G1106" s="135"/>
      <c r="H1106" s="135"/>
      <c r="I1106" s="135"/>
      <c r="J1106" s="136">
        <f>+SUM(J1102:J1105)</f>
        <v>19.467700000000001</v>
      </c>
      <c r="K1106" s="124" t="str">
        <f>+K1104</f>
        <v>M2</v>
      </c>
    </row>
    <row r="1107" spans="3:14">
      <c r="C1107" s="159"/>
      <c r="D1107" s="245"/>
      <c r="E1107" s="146"/>
      <c r="F1107" s="146"/>
      <c r="G1107" s="146"/>
      <c r="H1107" s="146"/>
      <c r="I1107" s="146"/>
      <c r="J1107" s="146"/>
      <c r="K1107" s="126"/>
    </row>
    <row r="1108" spans="3:14">
      <c r="C1108" s="159"/>
      <c r="D1108" s="221"/>
      <c r="E1108" s="132"/>
      <c r="F1108" s="132"/>
      <c r="G1108" s="132"/>
      <c r="H1108" s="132"/>
      <c r="I1108" s="132"/>
      <c r="J1108" s="132"/>
      <c r="K1108" s="120"/>
      <c r="M1108" s="127"/>
      <c r="N1108" s="128"/>
    </row>
    <row r="1109" spans="3:14">
      <c r="C1109" s="158">
        <f>C1100+0.01</f>
        <v>10.069999999999999</v>
      </c>
      <c r="D1109" s="182" t="str">
        <f>RESUMEN!D148</f>
        <v>SUMINISTRO DE INSTALACION DE CERCO DE MADERA  H = 1.10</v>
      </c>
      <c r="E1109" s="132"/>
      <c r="F1109" s="132"/>
      <c r="G1109" s="132"/>
      <c r="H1109" s="132"/>
      <c r="I1109" s="132"/>
      <c r="J1109" s="132"/>
      <c r="K1109" s="120"/>
      <c r="M1109" s="127"/>
      <c r="N1109" s="128"/>
    </row>
    <row r="1110" spans="3:14" ht="14.4" thickBot="1">
      <c r="C1110" s="159"/>
      <c r="D1110" s="115" t="s">
        <v>19</v>
      </c>
      <c r="E1110" s="115" t="s">
        <v>13</v>
      </c>
      <c r="F1110" s="116" t="s">
        <v>4</v>
      </c>
      <c r="G1110" s="116" t="s">
        <v>5</v>
      </c>
      <c r="H1110" s="116" t="s">
        <v>6</v>
      </c>
      <c r="I1110" s="116" t="s">
        <v>11</v>
      </c>
      <c r="J1110" s="116" t="s">
        <v>7</v>
      </c>
      <c r="K1110" s="115" t="s">
        <v>3</v>
      </c>
      <c r="M1110" s="127"/>
      <c r="N1110" s="128"/>
    </row>
    <row r="1111" spans="3:14" ht="14.4" thickTop="1">
      <c r="C1111" s="159"/>
      <c r="D1111" s="121"/>
      <c r="E1111" s="134"/>
      <c r="F1111" s="134"/>
      <c r="G1111" s="134"/>
      <c r="H1111" s="134"/>
      <c r="I1111" s="134"/>
      <c r="J1111" s="134"/>
      <c r="K1111" s="122"/>
      <c r="M1111" s="127"/>
      <c r="N1111" s="128"/>
    </row>
    <row r="1112" spans="3:14">
      <c r="C1112" s="159"/>
      <c r="D1112" s="311" t="s">
        <v>481</v>
      </c>
      <c r="E1112" s="134"/>
      <c r="F1112" s="134"/>
      <c r="G1112" s="134"/>
      <c r="H1112" s="134"/>
      <c r="I1112" s="134"/>
      <c r="J1112" s="134"/>
      <c r="K1112" s="122"/>
      <c r="M1112" s="127"/>
      <c r="N1112" s="128"/>
    </row>
    <row r="1113" spans="3:14">
      <c r="C1113" s="159"/>
      <c r="D1113" s="311"/>
      <c r="E1113" s="134">
        <v>1</v>
      </c>
      <c r="F1113" s="134">
        <v>1</v>
      </c>
      <c r="G1113" s="134">
        <f xml:space="preserve"> 29.0272 + 28.4948</f>
        <v>57.522000000000006</v>
      </c>
      <c r="H1113" s="134"/>
      <c r="I1113" s="134"/>
      <c r="J1113" s="134">
        <f>+PRODUCT(E1113:I1113)</f>
        <v>57.522000000000006</v>
      </c>
      <c r="K1113" s="123" t="s">
        <v>9</v>
      </c>
      <c r="M1113" s="127"/>
      <c r="N1113" s="128"/>
    </row>
    <row r="1114" spans="3:14">
      <c r="C1114" s="159"/>
      <c r="D1114" s="311"/>
      <c r="E1114" s="134"/>
      <c r="F1114" s="134"/>
      <c r="G1114" s="134"/>
      <c r="H1114" s="134"/>
      <c r="I1114" s="134"/>
      <c r="J1114" s="146"/>
      <c r="K1114" s="122"/>
      <c r="M1114" s="127"/>
      <c r="N1114" s="128"/>
    </row>
    <row r="1115" spans="3:14" ht="27.6">
      <c r="C1115" s="159"/>
      <c r="D1115" s="111" t="str">
        <f>+CONCATENATE("TOTAL DE ",D1109)</f>
        <v>TOTAL DE SUMINISTRO DE INSTALACION DE CERCO DE MADERA  H = 1.10</v>
      </c>
      <c r="E1115" s="135"/>
      <c r="F1115" s="135"/>
      <c r="G1115" s="135"/>
      <c r="H1115" s="135"/>
      <c r="I1115" s="135"/>
      <c r="J1115" s="136">
        <f>+SUM(J1111:J1114)</f>
        <v>57.522000000000006</v>
      </c>
      <c r="K1115" s="124" t="str">
        <f>+K1113</f>
        <v>ML</v>
      </c>
      <c r="M1115" s="112"/>
      <c r="N1115" s="128"/>
    </row>
    <row r="1116" spans="3:14">
      <c r="C1116" s="159"/>
      <c r="D1116" s="245"/>
      <c r="E1116" s="146"/>
      <c r="F1116" s="146"/>
      <c r="G1116" s="146"/>
      <c r="H1116" s="146"/>
      <c r="I1116" s="146"/>
      <c r="J1116" s="146"/>
      <c r="K1116" s="126"/>
    </row>
    <row r="1118" spans="3:14">
      <c r="C1118" s="157">
        <v>11</v>
      </c>
      <c r="D1118" s="139" t="str">
        <f>RESUMEN!D149</f>
        <v>CIRCUITO DE CALISTENIA</v>
      </c>
    </row>
    <row r="1119" spans="3:14">
      <c r="C1119" s="158">
        <f>C1118+0.01</f>
        <v>11.01</v>
      </c>
      <c r="D1119" s="182" t="str">
        <f>RESUMEN!D150</f>
        <v>TRABAJOS PRELIMINARES</v>
      </c>
    </row>
    <row r="1120" spans="3:14">
      <c r="C1120" s="159">
        <f>+C1119+0.0001</f>
        <v>11.0101</v>
      </c>
      <c r="D1120" s="259" t="str">
        <f>RESUMEN!D151</f>
        <v>TRAZO Y REPLANTEO C/ EQUIPO</v>
      </c>
    </row>
    <row r="1121" spans="3:11" ht="14.4" thickBot="1">
      <c r="C1121" s="159"/>
      <c r="D1121" s="115" t="s">
        <v>19</v>
      </c>
      <c r="E1121" s="115" t="s">
        <v>13</v>
      </c>
      <c r="F1121" s="116" t="s">
        <v>4</v>
      </c>
      <c r="G1121" s="116" t="s">
        <v>5</v>
      </c>
      <c r="H1121" s="116" t="s">
        <v>6</v>
      </c>
      <c r="I1121" s="116" t="s">
        <v>32</v>
      </c>
      <c r="J1121" s="116" t="s">
        <v>7</v>
      </c>
      <c r="K1121" s="115" t="s">
        <v>3</v>
      </c>
    </row>
    <row r="1122" spans="3:11" ht="14.4" thickTop="1">
      <c r="C1122" s="159"/>
      <c r="D1122" s="121"/>
      <c r="E1122" s="134"/>
      <c r="F1122" s="134"/>
      <c r="G1122" s="134"/>
      <c r="H1122" s="134"/>
      <c r="I1122" s="134"/>
      <c r="J1122" s="134"/>
      <c r="K1122" s="122"/>
    </row>
    <row r="1123" spans="3:11">
      <c r="C1123" s="159"/>
      <c r="D1123" s="312" t="s">
        <v>349</v>
      </c>
      <c r="E1123" s="134"/>
      <c r="F1123" s="134"/>
      <c r="G1123" s="134"/>
      <c r="H1123" s="134"/>
      <c r="I1123" s="134"/>
      <c r="J1123" s="134"/>
      <c r="K1123" s="122"/>
    </row>
    <row r="1124" spans="3:11">
      <c r="C1124" s="159"/>
      <c r="D1124" s="312"/>
      <c r="E1124" s="134"/>
      <c r="F1124" s="134"/>
      <c r="G1124" s="134"/>
      <c r="H1124" s="134"/>
      <c r="I1124" s="134"/>
      <c r="J1124" s="134"/>
      <c r="K1124" s="129"/>
    </row>
    <row r="1125" spans="3:11">
      <c r="C1125" s="159"/>
      <c r="D1125" s="184" t="str">
        <f>D1118</f>
        <v>CIRCUITO DE CALISTENIA</v>
      </c>
      <c r="E1125" s="134"/>
      <c r="F1125" s="134"/>
      <c r="G1125" s="134"/>
      <c r="H1125" s="134"/>
      <c r="I1125" s="134"/>
      <c r="J1125" s="134"/>
      <c r="K1125" s="123" t="s">
        <v>10</v>
      </c>
    </row>
    <row r="1126" spans="3:11">
      <c r="C1126" s="159"/>
      <c r="D1126" s="164"/>
      <c r="E1126" s="134"/>
      <c r="F1126" s="134"/>
      <c r="G1126" s="134"/>
      <c r="H1126" s="134"/>
      <c r="I1126" s="134"/>
      <c r="J1126" s="134"/>
      <c r="K1126" s="123"/>
    </row>
    <row r="1127" spans="3:11">
      <c r="C1127" s="159"/>
      <c r="D1127" s="197" t="s">
        <v>563</v>
      </c>
      <c r="E1127" s="134">
        <v>1</v>
      </c>
      <c r="F1127" s="134">
        <v>1</v>
      </c>
      <c r="G1127" s="134">
        <v>6.7542</v>
      </c>
      <c r="H1127" s="134">
        <v>5.55</v>
      </c>
      <c r="I1127" s="134"/>
      <c r="J1127" s="134">
        <f>PRODUCT(E1127:H1127)</f>
        <v>37.485810000000001</v>
      </c>
      <c r="K1127" s="123"/>
    </row>
    <row r="1128" spans="3:11">
      <c r="C1128" s="159"/>
      <c r="D1128" s="121"/>
      <c r="E1128" s="134"/>
      <c r="F1128" s="134"/>
      <c r="G1128" s="134"/>
      <c r="H1128" s="134"/>
      <c r="I1128" s="134"/>
      <c r="J1128" s="134"/>
      <c r="K1128" s="122"/>
    </row>
    <row r="1129" spans="3:11">
      <c r="C1129" s="159"/>
      <c r="D1129" s="111" t="str">
        <f>+CONCATENATE("TOTAL DE ",D1119)</f>
        <v>TOTAL DE TRABAJOS PRELIMINARES</v>
      </c>
      <c r="E1129" s="135"/>
      <c r="F1129" s="135"/>
      <c r="G1129" s="135"/>
      <c r="H1129" s="135"/>
      <c r="I1129" s="135"/>
      <c r="J1129" s="136">
        <f>+SUM(J1122:J1128)</f>
        <v>37.485810000000001</v>
      </c>
      <c r="K1129" s="124" t="str">
        <f>+K1125</f>
        <v>M2</v>
      </c>
    </row>
    <row r="1130" spans="3:11">
      <c r="C1130" s="159"/>
      <c r="D1130" s="125"/>
      <c r="E1130" s="146"/>
      <c r="F1130" s="146"/>
      <c r="G1130" s="146"/>
      <c r="H1130" s="146"/>
      <c r="I1130" s="146"/>
      <c r="J1130" s="146"/>
      <c r="K1130" s="126"/>
    </row>
    <row r="1132" spans="3:11">
      <c r="C1132" s="158">
        <f>+C1119+0.01</f>
        <v>11.02</v>
      </c>
      <c r="D1132" s="182" t="str">
        <f>RESUMEN!D152</f>
        <v>MOVIMIENTO DE TIERRAS</v>
      </c>
      <c r="E1132" s="132"/>
      <c r="F1132" s="132"/>
      <c r="G1132" s="132"/>
      <c r="H1132" s="132"/>
      <c r="I1132" s="132"/>
      <c r="J1132" s="132"/>
      <c r="K1132" s="120"/>
    </row>
    <row r="1133" spans="3:11">
      <c r="C1133" s="159">
        <f>C1132+0.0001</f>
        <v>11.020099999999999</v>
      </c>
      <c r="D1133" s="258" t="str">
        <f>RESUMEN!D153</f>
        <v>EXCAVACION A MANO EN TERRENO NORMAL</v>
      </c>
      <c r="E1133" s="132"/>
      <c r="F1133" s="132"/>
      <c r="G1133" s="132"/>
      <c r="H1133" s="132"/>
      <c r="I1133" s="132"/>
      <c r="J1133" s="132"/>
      <c r="K1133" s="120"/>
    </row>
    <row r="1134" spans="3:11" ht="14.4" thickBot="1">
      <c r="C1134" s="159"/>
      <c r="D1134" s="115" t="s">
        <v>19</v>
      </c>
      <c r="E1134" s="115" t="s">
        <v>13</v>
      </c>
      <c r="F1134" s="116" t="s">
        <v>4</v>
      </c>
      <c r="G1134" s="116" t="s">
        <v>5</v>
      </c>
      <c r="H1134" s="116" t="s">
        <v>6</v>
      </c>
      <c r="I1134" s="116" t="s">
        <v>32</v>
      </c>
      <c r="J1134" s="116" t="s">
        <v>7</v>
      </c>
      <c r="K1134" s="115" t="s">
        <v>3</v>
      </c>
    </row>
    <row r="1135" spans="3:11" ht="14.4" thickTop="1">
      <c r="C1135" s="159"/>
      <c r="D1135" s="121"/>
      <c r="E1135" s="134"/>
      <c r="F1135" s="134"/>
      <c r="G1135" s="134"/>
      <c r="H1135" s="134"/>
      <c r="I1135" s="134"/>
      <c r="J1135" s="134"/>
      <c r="K1135" s="122"/>
    </row>
    <row r="1136" spans="3:11">
      <c r="C1136" s="159"/>
      <c r="D1136" s="311" t="s">
        <v>637</v>
      </c>
      <c r="E1136" s="134"/>
      <c r="F1136" s="134"/>
      <c r="G1136" s="134"/>
      <c r="H1136" s="134"/>
      <c r="I1136" s="134"/>
      <c r="J1136" s="134"/>
      <c r="K1136" s="122"/>
    </row>
    <row r="1137" spans="3:11">
      <c r="C1137" s="159"/>
      <c r="D1137" s="311"/>
      <c r="E1137" s="134"/>
      <c r="F1137" s="134"/>
      <c r="G1137" s="134"/>
      <c r="H1137" s="134"/>
      <c r="I1137" s="134"/>
      <c r="J1137" s="134"/>
      <c r="K1137" s="129"/>
    </row>
    <row r="1138" spans="3:11">
      <c r="C1138" s="159"/>
      <c r="D1138" s="131"/>
      <c r="E1138" s="134"/>
      <c r="F1138" s="134"/>
      <c r="G1138" s="134"/>
      <c r="H1138" s="134"/>
      <c r="I1138" s="134"/>
      <c r="J1138" s="134"/>
      <c r="K1138" s="129"/>
    </row>
    <row r="1139" spans="3:11">
      <c r="C1139" s="159"/>
      <c r="D1139" s="184" t="str">
        <f>D1118</f>
        <v>CIRCUITO DE CALISTENIA</v>
      </c>
      <c r="E1139" s="134"/>
      <c r="F1139" s="134"/>
      <c r="G1139" s="134"/>
      <c r="H1139" s="134"/>
      <c r="I1139" s="134"/>
      <c r="J1139" s="134"/>
      <c r="K1139" s="123" t="s">
        <v>12</v>
      </c>
    </row>
    <row r="1140" spans="3:11">
      <c r="C1140" s="159"/>
      <c r="D1140" s="133"/>
      <c r="E1140" s="134"/>
      <c r="F1140" s="134"/>
      <c r="G1140" s="134"/>
      <c r="H1140" s="134"/>
      <c r="I1140" s="134"/>
      <c r="J1140" s="134"/>
      <c r="K1140" s="123"/>
    </row>
    <row r="1141" spans="3:11">
      <c r="C1141" s="159"/>
      <c r="D1141" s="197" t="s">
        <v>564</v>
      </c>
      <c r="E1141" s="134">
        <v>1</v>
      </c>
      <c r="F1141" s="134">
        <v>1</v>
      </c>
      <c r="G1141" s="134">
        <f>G1127</f>
        <v>6.7542</v>
      </c>
      <c r="H1141" s="134">
        <f>H1127</f>
        <v>5.55</v>
      </c>
      <c r="I1141" s="134">
        <v>0.1</v>
      </c>
      <c r="J1141" s="134">
        <f>+PRODUCT(E1141:I1141)</f>
        <v>3.7485810000000002</v>
      </c>
      <c r="K1141" s="123"/>
    </row>
    <row r="1142" spans="3:11">
      <c r="C1142" s="159"/>
      <c r="D1142" s="133"/>
      <c r="E1142" s="134"/>
      <c r="F1142" s="134"/>
      <c r="G1142" s="134"/>
      <c r="H1142" s="134"/>
      <c r="I1142" s="134"/>
      <c r="J1142" s="134"/>
      <c r="K1142" s="122"/>
    </row>
    <row r="1143" spans="3:11">
      <c r="C1143" s="159"/>
      <c r="D1143" s="111" t="str">
        <f>+CONCATENATE("TOTAL DE ",D1133)</f>
        <v>TOTAL DE EXCAVACION A MANO EN TERRENO NORMAL</v>
      </c>
      <c r="E1143" s="135"/>
      <c r="F1143" s="135"/>
      <c r="G1143" s="135"/>
      <c r="H1143" s="135"/>
      <c r="I1143" s="135"/>
      <c r="J1143" s="136">
        <f>+SUM(J1135:J1142)</f>
        <v>3.7485810000000002</v>
      </c>
      <c r="K1143" s="124" t="str">
        <f>+K1139</f>
        <v>M3</v>
      </c>
    </row>
    <row r="1144" spans="3:11">
      <c r="C1144" s="159"/>
      <c r="D1144" s="125"/>
      <c r="E1144" s="146"/>
      <c r="F1144" s="146"/>
      <c r="G1144" s="146"/>
      <c r="H1144" s="146"/>
      <c r="I1144" s="146"/>
      <c r="J1144" s="146"/>
      <c r="K1144" s="126"/>
    </row>
    <row r="1146" spans="3:11">
      <c r="C1146" s="159">
        <f>C1133+0.0001</f>
        <v>11.020199999999999</v>
      </c>
      <c r="D1146" s="258" t="str">
        <f>RESUMEN!D154</f>
        <v xml:space="preserve">ELIMINACIÓN DE MATERIAL EXCEDENTE C/VOLQUETE DE 15M3 D= 25KM </v>
      </c>
      <c r="E1146" s="132"/>
      <c r="F1146" s="132"/>
      <c r="G1146" s="132"/>
      <c r="H1146" s="132"/>
      <c r="I1146" s="132"/>
      <c r="J1146" s="132"/>
      <c r="K1146" s="120"/>
    </row>
    <row r="1147" spans="3:11" ht="14.4" thickBot="1">
      <c r="C1147" s="159"/>
      <c r="D1147" s="115" t="s">
        <v>19</v>
      </c>
      <c r="E1147" s="115" t="s">
        <v>13</v>
      </c>
      <c r="F1147" s="116" t="s">
        <v>4</v>
      </c>
      <c r="G1147" s="116" t="s">
        <v>5</v>
      </c>
      <c r="H1147" s="116" t="s">
        <v>6</v>
      </c>
      <c r="I1147" s="116" t="s">
        <v>11</v>
      </c>
      <c r="J1147" s="116" t="s">
        <v>7</v>
      </c>
      <c r="K1147" s="115" t="s">
        <v>3</v>
      </c>
    </row>
    <row r="1148" spans="3:11" ht="14.4" thickTop="1">
      <c r="C1148" s="159"/>
      <c r="D1148" s="121"/>
      <c r="E1148" s="134"/>
      <c r="F1148" s="134"/>
      <c r="G1148" s="134"/>
      <c r="H1148" s="134"/>
      <c r="I1148" s="134"/>
      <c r="J1148" s="134"/>
      <c r="K1148" s="122"/>
    </row>
    <row r="1149" spans="3:11">
      <c r="C1149" s="159"/>
      <c r="D1149" s="312" t="s">
        <v>354</v>
      </c>
      <c r="E1149" s="134"/>
      <c r="F1149" s="134"/>
      <c r="G1149" s="134"/>
      <c r="H1149" s="134"/>
      <c r="I1149" s="134"/>
      <c r="J1149" s="134"/>
      <c r="K1149" s="122"/>
    </row>
    <row r="1150" spans="3:11">
      <c r="C1150" s="159"/>
      <c r="D1150" s="312"/>
      <c r="E1150" s="134"/>
      <c r="F1150" s="134"/>
      <c r="G1150" s="134"/>
      <c r="H1150" s="134"/>
      <c r="I1150" s="134"/>
      <c r="J1150" s="134"/>
      <c r="K1150" s="129"/>
    </row>
    <row r="1151" spans="3:11">
      <c r="C1151" s="159"/>
      <c r="D1151" s="312"/>
      <c r="E1151" s="134"/>
      <c r="F1151" s="134"/>
      <c r="G1151" s="134"/>
      <c r="H1151" s="134"/>
      <c r="I1151" s="134"/>
      <c r="J1151" s="148"/>
      <c r="K1151" s="122"/>
    </row>
    <row r="1152" spans="3:11">
      <c r="C1152" s="159"/>
      <c r="D1152" s="231" t="s">
        <v>599</v>
      </c>
      <c r="E1152" s="134">
        <v>1.25</v>
      </c>
      <c r="F1152" s="134">
        <v>1</v>
      </c>
      <c r="G1152" s="134" t="s">
        <v>15</v>
      </c>
      <c r="H1152" s="134">
        <f>+J1143</f>
        <v>3.7485810000000002</v>
      </c>
      <c r="I1152" s="134"/>
      <c r="J1152" s="134">
        <f>E1152*H1152*F1152</f>
        <v>4.6857262500000001</v>
      </c>
      <c r="K1152" s="123" t="s">
        <v>12</v>
      </c>
    </row>
    <row r="1153" spans="3:11">
      <c r="C1153" s="159"/>
      <c r="D1153" s="131"/>
      <c r="E1153" s="134"/>
      <c r="F1153" s="134"/>
      <c r="G1153" s="134"/>
      <c r="H1153" s="134"/>
      <c r="I1153" s="134"/>
      <c r="J1153" s="134"/>
      <c r="K1153" s="122"/>
    </row>
    <row r="1154" spans="3:11" ht="27.6">
      <c r="C1154" s="159"/>
      <c r="D1154" s="110" t="str">
        <f>+CONCATENATE("TOTAL DE ",D1146)</f>
        <v xml:space="preserve">TOTAL DE ELIMINACIÓN DE MATERIAL EXCEDENTE C/VOLQUETE DE 15M3 D= 25KM </v>
      </c>
      <c r="E1154" s="135"/>
      <c r="F1154" s="135"/>
      <c r="G1154" s="135"/>
      <c r="H1154" s="135"/>
      <c r="I1154" s="135"/>
      <c r="J1154" s="136">
        <f>+SUM(J1148:J1153)</f>
        <v>4.6857262500000001</v>
      </c>
      <c r="K1154" s="124" t="str">
        <f>+K1152</f>
        <v>M3</v>
      </c>
    </row>
    <row r="1155" spans="3:11">
      <c r="C1155" s="159"/>
      <c r="D1155" s="125"/>
      <c r="E1155" s="146"/>
      <c r="F1155" s="146"/>
      <c r="G1155" s="146"/>
      <c r="H1155" s="146"/>
      <c r="I1155" s="146"/>
      <c r="J1155" s="146"/>
      <c r="K1155" s="126"/>
    </row>
    <row r="1157" spans="3:11">
      <c r="C1157" s="159">
        <f>C1146+0.0001</f>
        <v>11.020299999999999</v>
      </c>
      <c r="D1157" s="258" t="str">
        <f>RESUMEN!D155</f>
        <v>CONFORMACION Y COMPACTACIÓN DE SUBRASANTE CON MOTONIVELADORA 125HP</v>
      </c>
      <c r="E1157" s="132"/>
      <c r="F1157" s="132"/>
      <c r="G1157" s="132"/>
      <c r="H1157" s="132"/>
      <c r="I1157" s="132"/>
      <c r="J1157" s="132"/>
      <c r="K1157" s="120"/>
    </row>
    <row r="1158" spans="3:11" ht="14.4" thickBot="1">
      <c r="C1158" s="159"/>
      <c r="D1158" s="115" t="s">
        <v>19</v>
      </c>
      <c r="E1158" s="115" t="s">
        <v>13</v>
      </c>
      <c r="F1158" s="116" t="s">
        <v>4</v>
      </c>
      <c r="G1158" s="116" t="s">
        <v>5</v>
      </c>
      <c r="H1158" s="116" t="s">
        <v>6</v>
      </c>
      <c r="I1158" s="116" t="s">
        <v>11</v>
      </c>
      <c r="J1158" s="116" t="s">
        <v>7</v>
      </c>
      <c r="K1158" s="115" t="s">
        <v>3</v>
      </c>
    </row>
    <row r="1159" spans="3:11" ht="14.4" thickTop="1">
      <c r="C1159" s="159"/>
      <c r="D1159" s="121"/>
      <c r="E1159" s="134"/>
      <c r="F1159" s="134"/>
      <c r="G1159" s="134"/>
      <c r="H1159" s="134"/>
      <c r="I1159" s="134"/>
      <c r="J1159" s="134"/>
      <c r="K1159" s="122"/>
    </row>
    <row r="1160" spans="3:11">
      <c r="C1160" s="159"/>
      <c r="D1160" s="312" t="s">
        <v>23</v>
      </c>
      <c r="E1160" s="134"/>
      <c r="F1160" s="134"/>
      <c r="G1160" s="134"/>
      <c r="H1160" s="134"/>
      <c r="I1160" s="134"/>
      <c r="J1160" s="134"/>
      <c r="K1160" s="122"/>
    </row>
    <row r="1161" spans="3:11">
      <c r="C1161" s="159"/>
      <c r="D1161" s="312"/>
      <c r="E1161" s="134"/>
      <c r="F1161" s="134"/>
      <c r="G1161" s="134"/>
      <c r="H1161" s="134"/>
      <c r="I1161" s="134"/>
      <c r="J1161" s="134"/>
      <c r="K1161" s="129"/>
    </row>
    <row r="1162" spans="3:11">
      <c r="C1162" s="159"/>
      <c r="D1162" s="312"/>
      <c r="E1162" s="134"/>
      <c r="F1162" s="134"/>
      <c r="G1162" s="134"/>
      <c r="H1162" s="134"/>
      <c r="I1162" s="134"/>
      <c r="J1162" s="148"/>
      <c r="K1162" s="122"/>
    </row>
    <row r="1163" spans="3:11">
      <c r="C1163" s="159"/>
      <c r="D1163" s="184" t="str">
        <f>D1118</f>
        <v>CIRCUITO DE CALISTENIA</v>
      </c>
      <c r="E1163" s="134"/>
      <c r="F1163" s="134"/>
      <c r="G1163" s="134"/>
      <c r="H1163" s="134"/>
      <c r="I1163" s="134"/>
      <c r="J1163" s="148"/>
      <c r="K1163" s="191" t="s">
        <v>10</v>
      </c>
    </row>
    <row r="1164" spans="3:11">
      <c r="C1164" s="159"/>
      <c r="D1164" s="203"/>
      <c r="E1164" s="134"/>
      <c r="F1164" s="134"/>
      <c r="G1164" s="134"/>
      <c r="H1164" s="134"/>
      <c r="I1164" s="134"/>
      <c r="J1164" s="148"/>
      <c r="K1164" s="122"/>
    </row>
    <row r="1165" spans="3:11">
      <c r="C1165" s="159"/>
      <c r="D1165" s="197" t="s">
        <v>565</v>
      </c>
      <c r="E1165" s="134">
        <v>1</v>
      </c>
      <c r="F1165" s="134">
        <v>1</v>
      </c>
      <c r="G1165" s="134">
        <f>G1127</f>
        <v>6.7542</v>
      </c>
      <c r="H1165" s="134">
        <f>H1127</f>
        <v>5.55</v>
      </c>
      <c r="I1165" s="134"/>
      <c r="J1165" s="134">
        <f>+PRODUCT(E1165:I1165)</f>
        <v>37.485810000000001</v>
      </c>
      <c r="K1165" s="122"/>
    </row>
    <row r="1166" spans="3:11">
      <c r="C1166" s="159"/>
      <c r="D1166" s="232"/>
      <c r="E1166" s="134"/>
      <c r="F1166" s="134"/>
      <c r="G1166" s="134"/>
      <c r="H1166" s="132"/>
      <c r="I1166" s="134"/>
      <c r="J1166" s="134"/>
      <c r="K1166" s="123"/>
    </row>
    <row r="1167" spans="3:11" ht="27.6">
      <c r="C1167" s="159"/>
      <c r="D1167" s="111" t="str">
        <f>+CONCATENATE("TOTAL DE ",D1157)</f>
        <v>TOTAL DE CONFORMACION Y COMPACTACIÓN DE SUBRASANTE CON MOTONIVELADORA 125HP</v>
      </c>
      <c r="E1167" s="135"/>
      <c r="F1167" s="135"/>
      <c r="G1167" s="135"/>
      <c r="H1167" s="132"/>
      <c r="I1167" s="135"/>
      <c r="J1167" s="136">
        <f>+SUM(J1165:J1165)</f>
        <v>37.485810000000001</v>
      </c>
      <c r="K1167" s="124" t="str">
        <f>+K1163</f>
        <v>M2</v>
      </c>
    </row>
    <row r="1168" spans="3:11">
      <c r="C1168" s="159"/>
      <c r="D1168" s="125"/>
      <c r="E1168" s="146"/>
      <c r="F1168" s="146"/>
      <c r="G1168" s="146"/>
      <c r="H1168" s="146"/>
      <c r="I1168" s="146"/>
      <c r="J1168" s="146"/>
      <c r="K1168" s="126"/>
    </row>
    <row r="1169" spans="3:11">
      <c r="C1169" s="159"/>
      <c r="E1169" s="132"/>
      <c r="F1169" s="132"/>
      <c r="G1169" s="132"/>
      <c r="H1169" s="132"/>
      <c r="I1169" s="132"/>
      <c r="J1169" s="132"/>
      <c r="K1169" s="120"/>
    </row>
    <row r="1170" spans="3:11">
      <c r="C1170" s="158">
        <f>C1132+0.01</f>
        <v>11.03</v>
      </c>
      <c r="D1170" s="182" t="str">
        <f>RESUMEN!D156</f>
        <v>CAMA DE ARENA</v>
      </c>
      <c r="E1170" s="132"/>
      <c r="F1170" s="132"/>
      <c r="G1170" s="132"/>
      <c r="H1170" s="132"/>
      <c r="I1170" s="132"/>
      <c r="J1170" s="132"/>
      <c r="K1170" s="113"/>
    </row>
    <row r="1171" spans="3:11">
      <c r="C1171" s="159">
        <f>C1170+0.0001</f>
        <v>11.030099999999999</v>
      </c>
      <c r="D1171" s="258" t="str">
        <f>RESUMEN!D157</f>
        <v>CAMA DE ARENA FINA e= 0.20</v>
      </c>
      <c r="E1171" s="132"/>
      <c r="F1171" s="132"/>
      <c r="G1171" s="132"/>
      <c r="H1171" s="132"/>
      <c r="I1171" s="132"/>
      <c r="J1171" s="132"/>
      <c r="K1171" s="120"/>
    </row>
    <row r="1172" spans="3:11" ht="14.4" thickBot="1">
      <c r="C1172" s="159"/>
      <c r="D1172" s="115" t="s">
        <v>19</v>
      </c>
      <c r="E1172" s="115" t="s">
        <v>13</v>
      </c>
      <c r="F1172" s="116" t="s">
        <v>4</v>
      </c>
      <c r="G1172" s="116" t="s">
        <v>5</v>
      </c>
      <c r="H1172" s="116" t="s">
        <v>6</v>
      </c>
      <c r="I1172" s="116" t="s">
        <v>11</v>
      </c>
      <c r="J1172" s="116" t="s">
        <v>7</v>
      </c>
      <c r="K1172" s="115" t="s">
        <v>3</v>
      </c>
    </row>
    <row r="1173" spans="3:11" ht="14.4" thickTop="1">
      <c r="C1173" s="159"/>
      <c r="D1173" s="121"/>
      <c r="E1173" s="134"/>
      <c r="F1173" s="134"/>
      <c r="G1173" s="134"/>
      <c r="H1173" s="134"/>
      <c r="I1173" s="134"/>
      <c r="J1173" s="134"/>
      <c r="K1173" s="122"/>
    </row>
    <row r="1174" spans="3:11" ht="21" customHeight="1">
      <c r="C1174" s="159"/>
      <c r="D1174" s="198" t="s">
        <v>358</v>
      </c>
      <c r="E1174" s="134"/>
      <c r="F1174" s="134"/>
      <c r="G1174" s="134"/>
      <c r="H1174" s="134"/>
      <c r="I1174" s="134"/>
      <c r="J1174" s="134"/>
      <c r="K1174" s="122"/>
    </row>
    <row r="1175" spans="3:11">
      <c r="C1175" s="159"/>
      <c r="D1175" s="198"/>
      <c r="E1175" s="134"/>
      <c r="F1175" s="134"/>
      <c r="G1175" s="134"/>
      <c r="H1175" s="134"/>
      <c r="I1175" s="134"/>
      <c r="J1175" s="134"/>
      <c r="K1175" s="129"/>
    </row>
    <row r="1176" spans="3:11">
      <c r="C1176" s="159"/>
      <c r="D1176" s="183" t="str">
        <f>D1118</f>
        <v>CIRCUITO DE CALISTENIA</v>
      </c>
      <c r="E1176" s="134"/>
      <c r="F1176" s="134"/>
      <c r="G1176" s="134"/>
      <c r="H1176" s="134"/>
      <c r="I1176" s="134"/>
      <c r="J1176" s="148"/>
      <c r="K1176" s="191" t="s">
        <v>12</v>
      </c>
    </row>
    <row r="1177" spans="3:11">
      <c r="C1177" s="159"/>
      <c r="D1177" s="183"/>
      <c r="E1177" s="134"/>
      <c r="F1177" s="134"/>
      <c r="G1177" s="134"/>
      <c r="H1177" s="134"/>
      <c r="I1177" s="134"/>
      <c r="J1177" s="148"/>
      <c r="K1177" s="191"/>
    </row>
    <row r="1178" spans="3:11">
      <c r="C1178" s="159"/>
      <c r="D1178" s="202" t="s">
        <v>565</v>
      </c>
      <c r="E1178" s="134">
        <v>1</v>
      </c>
      <c r="F1178" s="134">
        <v>1</v>
      </c>
      <c r="G1178" s="134">
        <f>G1127</f>
        <v>6.7542</v>
      </c>
      <c r="H1178" s="134">
        <f>H1127</f>
        <v>5.55</v>
      </c>
      <c r="I1178" s="134">
        <v>0.2</v>
      </c>
      <c r="J1178" s="134">
        <f>+PRODUCT(E1178:I1178)</f>
        <v>7.4971620000000003</v>
      </c>
      <c r="K1178" s="122"/>
    </row>
    <row r="1179" spans="3:11">
      <c r="C1179" s="159"/>
      <c r="D1179" s="202"/>
      <c r="E1179" s="134"/>
      <c r="G1179" s="134"/>
      <c r="H1179" s="134"/>
      <c r="I1179" s="134"/>
      <c r="J1179" s="134"/>
      <c r="K1179" s="122"/>
    </row>
    <row r="1180" spans="3:11">
      <c r="C1180" s="159"/>
      <c r="D1180" s="111" t="str">
        <f>+CONCATENATE("TOTAL DE ",D1171)</f>
        <v>TOTAL DE CAMA DE ARENA FINA e= 0.20</v>
      </c>
      <c r="E1180" s="135"/>
      <c r="F1180" s="135"/>
      <c r="G1180" s="135"/>
      <c r="H1180" s="135"/>
      <c r="I1180" s="135"/>
      <c r="J1180" s="136">
        <f>SUM(J1178:J1179)</f>
        <v>7.4971620000000003</v>
      </c>
      <c r="K1180" s="124" t="str">
        <f>+K1176</f>
        <v>M3</v>
      </c>
    </row>
    <row r="1181" spans="3:11">
      <c r="C1181" s="159"/>
      <c r="D1181" s="125"/>
      <c r="E1181" s="146"/>
      <c r="F1181" s="146"/>
      <c r="G1181" s="146"/>
      <c r="H1181" s="146"/>
      <c r="I1181" s="146"/>
      <c r="J1181" s="146"/>
      <c r="K1181" s="126"/>
    </row>
    <row r="1182" spans="3:11">
      <c r="C1182" s="159"/>
      <c r="E1182" s="132"/>
      <c r="F1182" s="132"/>
      <c r="G1182" s="132"/>
      <c r="H1182" s="132"/>
      <c r="I1182" s="132"/>
      <c r="J1182" s="132"/>
      <c r="K1182" s="120"/>
    </row>
    <row r="1183" spans="3:11">
      <c r="C1183" s="158">
        <f>C1170+0.01</f>
        <v>11.04</v>
      </c>
      <c r="D1183" s="182" t="str">
        <f>RESUMEN!D158</f>
        <v>SUMINISTRO</v>
      </c>
      <c r="E1183" s="132"/>
      <c r="F1183" s="132"/>
      <c r="G1183" s="132"/>
      <c r="H1183" s="132"/>
      <c r="I1183" s="132"/>
      <c r="J1183" s="132"/>
      <c r="K1183" s="120"/>
    </row>
    <row r="1184" spans="3:11">
      <c r="C1184" s="159">
        <f>C1183+0.0001</f>
        <v>11.040099999999999</v>
      </c>
      <c r="D1184" s="258" t="str">
        <f>RESUMEN!D159</f>
        <v>SUMINISTRO E INSTALACION DE CIRCUITO DE CALISTENIA</v>
      </c>
      <c r="E1184" s="132"/>
      <c r="F1184" s="132"/>
      <c r="G1184" s="132"/>
      <c r="H1184" s="132"/>
      <c r="I1184" s="132"/>
      <c r="J1184" s="132"/>
      <c r="K1184" s="120"/>
    </row>
    <row r="1185" spans="3:11">
      <c r="C1185" s="157">
        <v>12</v>
      </c>
      <c r="D1185" s="139" t="str">
        <f>RESUMEN!D160</f>
        <v xml:space="preserve"> CERCO PERIMÉTRICO DE MALLA EN LOSAS DEPORTIVAS</v>
      </c>
    </row>
    <row r="1186" spans="3:11">
      <c r="C1186" s="158">
        <f>C1185+0.01</f>
        <v>12.01</v>
      </c>
      <c r="D1186" s="182" t="str">
        <f>RESUMEN!D161</f>
        <v>TRABAJOS PRELIMINARES</v>
      </c>
    </row>
    <row r="1187" spans="3:11">
      <c r="C1187" s="159">
        <f>+C1186+0.0001</f>
        <v>12.0101</v>
      </c>
      <c r="D1187" s="226" t="str">
        <f>RESUMEN!D151</f>
        <v>TRAZO Y REPLANTEO C/ EQUIPO</v>
      </c>
      <c r="E1187" s="132"/>
      <c r="F1187" s="132"/>
      <c r="G1187" s="132"/>
      <c r="H1187" s="132"/>
      <c r="I1187" s="132"/>
      <c r="J1187" s="132"/>
      <c r="K1187" s="120"/>
    </row>
    <row r="1188" spans="3:11" ht="14.4" thickBot="1">
      <c r="C1188" s="159"/>
      <c r="D1188" s="115" t="s">
        <v>19</v>
      </c>
      <c r="E1188" s="115" t="s">
        <v>13</v>
      </c>
      <c r="F1188" s="116" t="s">
        <v>4</v>
      </c>
      <c r="G1188" s="116" t="s">
        <v>5</v>
      </c>
      <c r="H1188" s="116" t="s">
        <v>6</v>
      </c>
      <c r="I1188" s="116" t="s">
        <v>32</v>
      </c>
      <c r="J1188" s="116" t="s">
        <v>7</v>
      </c>
      <c r="K1188" s="115" t="s">
        <v>3</v>
      </c>
    </row>
    <row r="1189" spans="3:11" ht="14.4" thickTop="1">
      <c r="C1189" s="159"/>
      <c r="D1189" s="121"/>
      <c r="E1189" s="134"/>
      <c r="F1189" s="134"/>
      <c r="G1189" s="134"/>
      <c r="H1189" s="134"/>
      <c r="I1189" s="134"/>
      <c r="J1189" s="134"/>
      <c r="K1189" s="122"/>
    </row>
    <row r="1190" spans="3:11">
      <c r="C1190" s="159"/>
      <c r="D1190" s="312" t="s">
        <v>349</v>
      </c>
      <c r="E1190" s="134"/>
      <c r="F1190" s="134"/>
      <c r="G1190" s="134"/>
      <c r="H1190" s="134"/>
      <c r="I1190" s="134"/>
      <c r="J1190" s="134"/>
      <c r="K1190" s="122"/>
    </row>
    <row r="1191" spans="3:11">
      <c r="C1191" s="159"/>
      <c r="D1191" s="312"/>
      <c r="E1191" s="134"/>
      <c r="F1191" s="134"/>
      <c r="G1191" s="134"/>
      <c r="H1191" s="134"/>
      <c r="I1191" s="134"/>
      <c r="J1191" s="134"/>
      <c r="K1191" s="129"/>
    </row>
    <row r="1192" spans="3:11">
      <c r="C1192" s="159"/>
      <c r="D1192" s="184" t="str">
        <f>D1185</f>
        <v xml:space="preserve"> CERCO PERIMÉTRICO DE MALLA EN LOSAS DEPORTIVAS</v>
      </c>
      <c r="E1192" s="134"/>
      <c r="F1192" s="134"/>
      <c r="G1192" s="134"/>
      <c r="H1192" s="134"/>
      <c r="I1192" s="134"/>
      <c r="J1192" s="134"/>
      <c r="K1192" s="123" t="s">
        <v>10</v>
      </c>
    </row>
    <row r="1193" spans="3:11">
      <c r="C1193" s="159"/>
      <c r="D1193" s="164"/>
      <c r="E1193" s="134"/>
      <c r="F1193" s="134"/>
      <c r="G1193" s="134"/>
      <c r="H1193" s="134"/>
      <c r="I1193" s="134"/>
      <c r="J1193" s="134"/>
      <c r="K1193" s="123"/>
    </row>
    <row r="1194" spans="3:11">
      <c r="C1194" s="159"/>
      <c r="D1194" s="197" t="s">
        <v>568</v>
      </c>
      <c r="E1194" s="134">
        <v>1</v>
      </c>
      <c r="F1194" s="134">
        <v>1</v>
      </c>
      <c r="G1194" s="134">
        <v>114.91759999999999</v>
      </c>
      <c r="H1194" s="134">
        <v>0.3</v>
      </c>
      <c r="I1194" s="134"/>
      <c r="J1194" s="134">
        <f>PRODUCT(E1194:H1194)</f>
        <v>34.475279999999998</v>
      </c>
      <c r="K1194" s="123"/>
    </row>
    <row r="1195" spans="3:11">
      <c r="C1195" s="159"/>
      <c r="D1195" s="121"/>
      <c r="E1195" s="134"/>
      <c r="F1195" s="134"/>
      <c r="G1195" s="134"/>
      <c r="H1195" s="134"/>
      <c r="I1195" s="134"/>
      <c r="J1195" s="134"/>
      <c r="K1195" s="122"/>
    </row>
    <row r="1196" spans="3:11">
      <c r="C1196" s="159"/>
      <c r="D1196" s="111" t="str">
        <f>+CONCATENATE("TOTAL DE ",D1187)</f>
        <v>TOTAL DE TRAZO Y REPLANTEO C/ EQUIPO</v>
      </c>
      <c r="E1196" s="135"/>
      <c r="F1196" s="135"/>
      <c r="G1196" s="135"/>
      <c r="H1196" s="135"/>
      <c r="I1196" s="135"/>
      <c r="J1196" s="136">
        <f>+SUM(J1189:J1195)</f>
        <v>34.475279999999998</v>
      </c>
      <c r="K1196" s="124" t="str">
        <f>+K1192</f>
        <v>M2</v>
      </c>
    </row>
    <row r="1197" spans="3:11">
      <c r="C1197" s="159"/>
      <c r="D1197" s="125"/>
      <c r="E1197" s="146"/>
      <c r="F1197" s="146"/>
      <c r="G1197" s="146"/>
      <c r="H1197" s="146"/>
      <c r="I1197" s="146"/>
      <c r="J1197" s="146"/>
      <c r="K1197" s="126"/>
    </row>
    <row r="1198" spans="3:11">
      <c r="C1198" s="159"/>
      <c r="E1198" s="132"/>
      <c r="F1198" s="132"/>
      <c r="G1198" s="132"/>
      <c r="H1198" s="132"/>
      <c r="I1198" s="132"/>
      <c r="J1198" s="132"/>
      <c r="K1198" s="120"/>
    </row>
    <row r="1199" spans="3:11">
      <c r="C1199" s="158">
        <f>C1186+0.01</f>
        <v>12.02</v>
      </c>
      <c r="D1199" s="182" t="str">
        <f>RESUMEN!D163</f>
        <v>MOVIMIENTO DE TIERRAS</v>
      </c>
    </row>
    <row r="1200" spans="3:11">
      <c r="C1200" s="159">
        <f>C1199+0.0001</f>
        <v>12.020099999999999</v>
      </c>
      <c r="D1200" s="266" t="str">
        <f>RESUMEN!D164</f>
        <v>EXCAVACIÓN MANUAL DE TERRENO NATURAL</v>
      </c>
    </row>
    <row r="1201" spans="3:11" ht="14.4" thickBot="1">
      <c r="C1201" s="159"/>
      <c r="D1201" s="115" t="s">
        <v>19</v>
      </c>
      <c r="E1201" s="115" t="s">
        <v>13</v>
      </c>
      <c r="F1201" s="116" t="s">
        <v>4</v>
      </c>
      <c r="G1201" s="116" t="s">
        <v>5</v>
      </c>
      <c r="H1201" s="116" t="s">
        <v>6</v>
      </c>
      <c r="I1201" s="116" t="s">
        <v>32</v>
      </c>
      <c r="J1201" s="116" t="s">
        <v>7</v>
      </c>
      <c r="K1201" s="115" t="s">
        <v>3</v>
      </c>
    </row>
    <row r="1202" spans="3:11" ht="14.4" thickTop="1">
      <c r="C1202" s="159"/>
      <c r="D1202" s="121"/>
      <c r="E1202" s="134"/>
      <c r="F1202" s="134"/>
      <c r="G1202" s="134"/>
      <c r="H1202" s="134"/>
      <c r="I1202" s="134"/>
      <c r="J1202" s="134"/>
      <c r="K1202" s="122"/>
    </row>
    <row r="1203" spans="3:11">
      <c r="C1203" s="159"/>
      <c r="D1203" s="311" t="s">
        <v>397</v>
      </c>
      <c r="E1203" s="134"/>
      <c r="F1203" s="134"/>
      <c r="G1203" s="134"/>
      <c r="H1203" s="134"/>
      <c r="I1203" s="134"/>
      <c r="J1203" s="134"/>
      <c r="K1203" s="122"/>
    </row>
    <row r="1204" spans="3:11">
      <c r="C1204" s="159"/>
      <c r="D1204" s="311"/>
      <c r="E1204" s="134"/>
      <c r="F1204" s="134"/>
      <c r="G1204" s="134"/>
      <c r="H1204" s="134"/>
      <c r="I1204" s="134"/>
      <c r="J1204" s="134"/>
      <c r="K1204" s="129"/>
    </row>
    <row r="1205" spans="3:11">
      <c r="C1205" s="159"/>
      <c r="D1205" s="131"/>
      <c r="E1205" s="134"/>
      <c r="F1205" s="134"/>
      <c r="G1205" s="134"/>
      <c r="H1205" s="134"/>
      <c r="I1205" s="134"/>
      <c r="J1205" s="134"/>
      <c r="K1205" s="129"/>
    </row>
    <row r="1206" spans="3:11">
      <c r="C1206" s="159"/>
      <c r="D1206" s="184" t="str">
        <f>D1185</f>
        <v xml:space="preserve"> CERCO PERIMÉTRICO DE MALLA EN LOSAS DEPORTIVAS</v>
      </c>
      <c r="E1206" s="134"/>
      <c r="F1206" s="134"/>
      <c r="G1206" s="134"/>
      <c r="H1206" s="134"/>
      <c r="I1206" s="134"/>
      <c r="J1206" s="134"/>
      <c r="K1206" s="123" t="s">
        <v>12</v>
      </c>
    </row>
    <row r="1207" spans="3:11">
      <c r="C1207" s="159"/>
      <c r="D1207" s="133"/>
      <c r="E1207" s="134"/>
      <c r="F1207" s="134"/>
      <c r="G1207" s="134"/>
      <c r="H1207" s="134"/>
      <c r="I1207" s="134"/>
      <c r="J1207" s="134"/>
      <c r="K1207" s="123"/>
    </row>
    <row r="1208" spans="3:11">
      <c r="C1208" s="159"/>
      <c r="D1208" s="197" t="s">
        <v>566</v>
      </c>
      <c r="E1208" s="134">
        <v>1</v>
      </c>
      <c r="F1208" s="149">
        <v>22</v>
      </c>
      <c r="G1208" s="134">
        <v>0.3</v>
      </c>
      <c r="H1208" s="134">
        <v>0.3</v>
      </c>
      <c r="I1208" s="134">
        <v>0.6</v>
      </c>
      <c r="J1208" s="134">
        <f>+PRODUCT(E1208:I1208)</f>
        <v>1.1879999999999997</v>
      </c>
      <c r="K1208" s="123"/>
    </row>
    <row r="1209" spans="3:11">
      <c r="C1209" s="159"/>
      <c r="D1209" s="133"/>
      <c r="E1209" s="134"/>
      <c r="F1209" s="134"/>
      <c r="G1209" s="134"/>
      <c r="H1209" s="134"/>
      <c r="I1209" s="134"/>
      <c r="J1209" s="134"/>
      <c r="K1209" s="122"/>
    </row>
    <row r="1210" spans="3:11">
      <c r="C1210" s="159"/>
      <c r="D1210" s="111" t="str">
        <f>+CONCATENATE("TOTAL DE ",D1200)</f>
        <v>TOTAL DE EXCAVACIÓN MANUAL DE TERRENO NATURAL</v>
      </c>
      <c r="E1210" s="135"/>
      <c r="F1210" s="135"/>
      <c r="G1210" s="135"/>
      <c r="H1210" s="135"/>
      <c r="I1210" s="135"/>
      <c r="J1210" s="136">
        <f>+SUM(J1202:J1209)</f>
        <v>1.1879999999999997</v>
      </c>
      <c r="K1210" s="124" t="str">
        <f>+K1206</f>
        <v>M3</v>
      </c>
    </row>
    <row r="1211" spans="3:11">
      <c r="C1211" s="159"/>
      <c r="D1211" s="125"/>
      <c r="E1211" s="146"/>
      <c r="F1211" s="146"/>
      <c r="G1211" s="146"/>
      <c r="H1211" s="146"/>
      <c r="I1211" s="146"/>
      <c r="J1211" s="146"/>
      <c r="K1211" s="126"/>
    </row>
    <row r="1212" spans="3:11">
      <c r="C1212" s="159"/>
      <c r="E1212" s="132"/>
      <c r="F1212" s="132"/>
      <c r="G1212" s="132"/>
      <c r="H1212" s="132"/>
      <c r="I1212" s="132"/>
      <c r="J1212" s="132"/>
      <c r="K1212" s="120"/>
    </row>
    <row r="1213" spans="3:11">
      <c r="C1213" s="159">
        <f>C1200+0.0001</f>
        <v>12.020199999999999</v>
      </c>
      <c r="D1213" s="258" t="str">
        <f>RESUMEN!D165</f>
        <v>ELIMINACIÓN DE EXCEDENTES C/VOLQUETES DE 15M3 D=25M</v>
      </c>
      <c r="E1213" s="132"/>
      <c r="F1213" s="132"/>
      <c r="G1213" s="132"/>
      <c r="H1213" s="132"/>
      <c r="I1213" s="132"/>
      <c r="J1213" s="132"/>
      <c r="K1213" s="120"/>
    </row>
    <row r="1214" spans="3:11" ht="14.4" thickBot="1">
      <c r="C1214" s="159"/>
      <c r="D1214" s="115" t="s">
        <v>19</v>
      </c>
      <c r="E1214" s="115" t="s">
        <v>13</v>
      </c>
      <c r="F1214" s="116" t="s">
        <v>4</v>
      </c>
      <c r="G1214" s="116" t="s">
        <v>5</v>
      </c>
      <c r="H1214" s="116" t="s">
        <v>6</v>
      </c>
      <c r="I1214" s="116" t="s">
        <v>11</v>
      </c>
      <c r="J1214" s="116" t="s">
        <v>7</v>
      </c>
      <c r="K1214" s="115" t="s">
        <v>3</v>
      </c>
    </row>
    <row r="1215" spans="3:11" ht="14.4" thickTop="1">
      <c r="C1215" s="159"/>
      <c r="D1215" s="121"/>
      <c r="E1215" s="134"/>
      <c r="F1215" s="134"/>
      <c r="G1215" s="134"/>
      <c r="H1215" s="134"/>
      <c r="I1215" s="134"/>
      <c r="J1215" s="134"/>
      <c r="K1215" s="122"/>
    </row>
    <row r="1216" spans="3:11">
      <c r="C1216" s="159"/>
      <c r="D1216" s="312" t="s">
        <v>354</v>
      </c>
      <c r="E1216" s="134"/>
      <c r="F1216" s="134"/>
      <c r="G1216" s="134"/>
      <c r="H1216" s="134"/>
      <c r="I1216" s="134"/>
      <c r="J1216" s="134"/>
      <c r="K1216" s="122"/>
    </row>
    <row r="1217" spans="3:11">
      <c r="C1217" s="159"/>
      <c r="D1217" s="312"/>
      <c r="E1217" s="134"/>
      <c r="F1217" s="134"/>
      <c r="G1217" s="134"/>
      <c r="H1217" s="134"/>
      <c r="I1217" s="134"/>
      <c r="J1217" s="134"/>
      <c r="K1217" s="129"/>
    </row>
    <row r="1218" spans="3:11">
      <c r="C1218" s="159"/>
      <c r="D1218" s="312"/>
      <c r="E1218" s="134"/>
      <c r="F1218" s="134"/>
      <c r="G1218" s="134"/>
      <c r="H1218" s="134"/>
      <c r="I1218" s="134"/>
      <c r="J1218" s="148"/>
      <c r="K1218" s="122"/>
    </row>
    <row r="1219" spans="3:11">
      <c r="C1219" s="159"/>
      <c r="D1219" s="231" t="s">
        <v>600</v>
      </c>
      <c r="E1219" s="134">
        <v>1.25</v>
      </c>
      <c r="F1219" s="134">
        <v>1</v>
      </c>
      <c r="G1219" s="134" t="s">
        <v>15</v>
      </c>
      <c r="H1219" s="134">
        <f>+J1210</f>
        <v>1.1879999999999997</v>
      </c>
      <c r="I1219" s="134"/>
      <c r="J1219" s="134">
        <f>E1219*H1219*F1219</f>
        <v>1.4849999999999997</v>
      </c>
      <c r="K1219" s="123" t="s">
        <v>12</v>
      </c>
    </row>
    <row r="1220" spans="3:11">
      <c r="C1220" s="159"/>
      <c r="D1220" s="131"/>
      <c r="E1220" s="134"/>
      <c r="F1220" s="134"/>
      <c r="G1220" s="134"/>
      <c r="H1220" s="134"/>
      <c r="I1220" s="134"/>
      <c r="J1220" s="134"/>
      <c r="K1220" s="122"/>
    </row>
    <row r="1221" spans="3:11">
      <c r="C1221" s="159"/>
      <c r="D1221" s="110" t="str">
        <f>+CONCATENATE("TOTAL DE ",D1213)</f>
        <v>TOTAL DE ELIMINACIÓN DE EXCEDENTES C/VOLQUETES DE 15M3 D=25M</v>
      </c>
      <c r="E1221" s="135"/>
      <c r="F1221" s="135"/>
      <c r="G1221" s="135"/>
      <c r="H1221" s="135"/>
      <c r="I1221" s="135"/>
      <c r="J1221" s="136">
        <f>+SUM(J1215:J1220)</f>
        <v>1.4849999999999997</v>
      </c>
      <c r="K1221" s="124" t="str">
        <f>+K1219</f>
        <v>M3</v>
      </c>
    </row>
    <row r="1222" spans="3:11">
      <c r="C1222" s="159"/>
      <c r="D1222" s="125"/>
      <c r="E1222" s="146"/>
      <c r="F1222" s="146"/>
      <c r="G1222" s="146"/>
      <c r="H1222" s="146"/>
      <c r="I1222" s="146"/>
      <c r="J1222" s="146"/>
      <c r="K1222" s="126"/>
    </row>
    <row r="1223" spans="3:11">
      <c r="C1223" s="159"/>
      <c r="E1223" s="132"/>
      <c r="F1223" s="132"/>
      <c r="G1223" s="132"/>
      <c r="H1223" s="132"/>
      <c r="I1223" s="132"/>
      <c r="J1223" s="132"/>
      <c r="K1223" s="120"/>
    </row>
    <row r="1224" spans="3:11">
      <c r="C1224" s="158">
        <f>C1199+0.01</f>
        <v>12.03</v>
      </c>
      <c r="D1224" s="182" t="str">
        <f>RESUMEN!D166</f>
        <v>CONCRETO SIMPLE</v>
      </c>
    </row>
    <row r="1225" spans="3:11" ht="13.8" customHeight="1">
      <c r="C1225" s="159">
        <f>C1213+0.0001</f>
        <v>12.020299999999999</v>
      </c>
      <c r="D1225" s="166" t="str">
        <f>RESUMEN!D167</f>
        <v xml:space="preserve">CONCRETO  PRE MEZCLADO F’C = 175  Kg/cm2.  </v>
      </c>
      <c r="E1225" s="132"/>
      <c r="F1225" s="132"/>
      <c r="G1225" s="132"/>
      <c r="H1225" s="132"/>
      <c r="I1225" s="132"/>
      <c r="J1225" s="132"/>
      <c r="K1225" s="120"/>
    </row>
    <row r="1226" spans="3:11" ht="14.4" thickBot="1">
      <c r="C1226" s="159"/>
      <c r="D1226" s="115" t="s">
        <v>19</v>
      </c>
      <c r="E1226" s="115" t="s">
        <v>13</v>
      </c>
      <c r="F1226" s="116" t="s">
        <v>4</v>
      </c>
      <c r="G1226" s="116" t="s">
        <v>5</v>
      </c>
      <c r="H1226" s="116" t="s">
        <v>6</v>
      </c>
      <c r="I1226" s="116" t="s">
        <v>11</v>
      </c>
      <c r="J1226" s="116" t="s">
        <v>7</v>
      </c>
      <c r="K1226" s="115" t="s">
        <v>3</v>
      </c>
    </row>
    <row r="1227" spans="3:11" ht="14.4" thickTop="1">
      <c r="C1227" s="159"/>
      <c r="D1227" s="121"/>
      <c r="E1227" s="134"/>
      <c r="F1227" s="134"/>
      <c r="G1227" s="134"/>
      <c r="H1227" s="134"/>
      <c r="I1227" s="134"/>
      <c r="J1227" s="134"/>
      <c r="K1227" s="122"/>
    </row>
    <row r="1228" spans="3:11" ht="27.6">
      <c r="C1228" s="159"/>
      <c r="D1228" s="198" t="s">
        <v>569</v>
      </c>
      <c r="E1228" s="134"/>
      <c r="F1228" s="134"/>
      <c r="G1228" s="134"/>
      <c r="H1228" s="134"/>
      <c r="I1228" s="134"/>
      <c r="J1228" s="134"/>
      <c r="K1228" s="129"/>
    </row>
    <row r="1229" spans="3:11">
      <c r="C1229" s="159"/>
      <c r="D1229" s="204"/>
      <c r="E1229" s="134"/>
      <c r="F1229" s="134"/>
      <c r="G1229" s="134"/>
      <c r="H1229" s="134"/>
      <c r="I1229" s="134"/>
      <c r="J1229" s="134"/>
      <c r="K1229" s="123"/>
    </row>
    <row r="1230" spans="3:11">
      <c r="C1230" s="159"/>
      <c r="D1230" s="183" t="str">
        <f>D1185</f>
        <v xml:space="preserve"> CERCO PERIMÉTRICO DE MALLA EN LOSAS DEPORTIVAS</v>
      </c>
      <c r="E1230" s="134"/>
      <c r="F1230" s="134"/>
      <c r="G1230" s="134"/>
      <c r="H1230" s="134"/>
      <c r="I1230" s="134"/>
      <c r="J1230" s="148"/>
    </row>
    <row r="1231" spans="3:11">
      <c r="C1231" s="159"/>
      <c r="D1231" s="203"/>
      <c r="E1231" s="134"/>
      <c r="F1231" s="134"/>
      <c r="G1231" s="134"/>
      <c r="H1231" s="134"/>
      <c r="I1231" s="134"/>
      <c r="J1231" s="148"/>
      <c r="K1231" s="124"/>
    </row>
    <row r="1232" spans="3:11">
      <c r="C1232" s="159"/>
      <c r="D1232" s="202" t="s">
        <v>570</v>
      </c>
      <c r="E1232" s="134">
        <v>1</v>
      </c>
      <c r="F1232" s="134">
        <v>42</v>
      </c>
      <c r="G1232" s="134">
        <v>0.3</v>
      </c>
      <c r="H1232" s="134">
        <v>0.3</v>
      </c>
      <c r="I1232" s="134">
        <v>0.6</v>
      </c>
      <c r="J1232" s="134">
        <f>+PRODUCT(E1232:I1232)</f>
        <v>2.2679999999999998</v>
      </c>
      <c r="K1232" s="191" t="s">
        <v>10</v>
      </c>
    </row>
    <row r="1233" spans="3:11">
      <c r="C1233" s="159"/>
      <c r="D1233" s="202"/>
      <c r="E1233" s="134"/>
      <c r="F1233" s="134"/>
      <c r="G1233" s="134"/>
      <c r="H1233" s="132"/>
      <c r="I1233" s="134"/>
      <c r="J1233" s="134"/>
      <c r="K1233" s="123"/>
    </row>
    <row r="1234" spans="3:11">
      <c r="C1234" s="159"/>
      <c r="D1234" s="110" t="str">
        <f>+CONCATENATE("TOTAL DE ",D1225)</f>
        <v xml:space="preserve">TOTAL DE CONCRETO  PRE MEZCLADO F’C = 175  Kg/cm2.  </v>
      </c>
      <c r="E1234" s="135"/>
      <c r="F1234" s="135"/>
      <c r="G1234" s="135"/>
      <c r="H1234" s="132"/>
      <c r="I1234" s="135"/>
      <c r="J1234" s="136">
        <f>SUM(J1232:J1232)</f>
        <v>2.2679999999999998</v>
      </c>
      <c r="K1234" s="124" t="str">
        <f>+K1232</f>
        <v>M2</v>
      </c>
    </row>
    <row r="1235" spans="3:11">
      <c r="C1235" s="159"/>
      <c r="D1235" s="125"/>
      <c r="E1235" s="146"/>
      <c r="F1235" s="146"/>
      <c r="G1235" s="146"/>
      <c r="H1235" s="146"/>
      <c r="I1235" s="146"/>
      <c r="J1235" s="146"/>
      <c r="K1235" s="126"/>
    </row>
    <row r="1236" spans="3:11">
      <c r="C1236" s="159"/>
      <c r="E1236" s="132"/>
      <c r="F1236" s="132"/>
      <c r="G1236" s="132"/>
      <c r="H1236" s="132"/>
      <c r="I1236" s="132"/>
      <c r="J1236" s="132"/>
      <c r="K1236" s="120"/>
    </row>
    <row r="1237" spans="3:11">
      <c r="C1237" s="158">
        <f>C1224+0.01</f>
        <v>12.04</v>
      </c>
      <c r="D1237" s="182" t="str">
        <f>RESUMEN!D168</f>
        <v>SERVICIO E INSTALACIÓN DE  ESTRUCTURA METALICA, CON MALLA OLIMPICA GALVANIZADA</v>
      </c>
    </row>
    <row r="1238" spans="3:11">
      <c r="C1238" s="159">
        <f>C1237+0.0001</f>
        <v>12.040099999999999</v>
      </c>
      <c r="D1238" s="166" t="str">
        <f>RESUMEN!D169</f>
        <v>ESTRUCTURA METÁLICA</v>
      </c>
    </row>
    <row r="1239" spans="3:11" ht="14.4" thickBot="1">
      <c r="C1239" s="159"/>
      <c r="D1239" s="115" t="s">
        <v>19</v>
      </c>
      <c r="E1239" s="115" t="s">
        <v>13</v>
      </c>
      <c r="F1239" s="116" t="s">
        <v>4</v>
      </c>
      <c r="G1239" s="116" t="s">
        <v>5</v>
      </c>
      <c r="H1239" s="116" t="s">
        <v>6</v>
      </c>
      <c r="I1239" s="116" t="s">
        <v>11</v>
      </c>
      <c r="J1239" s="116" t="s">
        <v>7</v>
      </c>
      <c r="K1239" s="115" t="s">
        <v>3</v>
      </c>
    </row>
    <row r="1240" spans="3:11" ht="14.4" thickTop="1">
      <c r="C1240" s="159"/>
      <c r="D1240" s="121"/>
      <c r="E1240" s="134"/>
      <c r="F1240" s="134"/>
      <c r="G1240" s="134"/>
      <c r="H1240" s="134"/>
      <c r="I1240" s="134"/>
      <c r="J1240" s="134"/>
      <c r="K1240" s="122"/>
    </row>
    <row r="1241" spans="3:11">
      <c r="C1241" s="159"/>
      <c r="D1241" s="311" t="s">
        <v>627</v>
      </c>
      <c r="E1241" s="134"/>
      <c r="F1241" s="134"/>
      <c r="G1241" s="134"/>
      <c r="H1241" s="134"/>
      <c r="I1241" s="134"/>
      <c r="J1241" s="134"/>
      <c r="K1241" s="129"/>
    </row>
    <row r="1242" spans="3:11">
      <c r="C1242" s="159"/>
      <c r="D1242" s="311"/>
      <c r="E1242" s="134"/>
      <c r="F1242" s="134"/>
      <c r="G1242" s="134"/>
      <c r="H1242" s="134"/>
      <c r="I1242" s="134"/>
      <c r="J1242" s="148"/>
      <c r="K1242" s="122"/>
    </row>
    <row r="1243" spans="3:11">
      <c r="C1243" s="159"/>
      <c r="D1243" s="204" t="s">
        <v>626</v>
      </c>
      <c r="E1243" s="134"/>
      <c r="F1243" s="134"/>
      <c r="G1243" s="134"/>
      <c r="H1243" s="134"/>
      <c r="I1243" s="134"/>
      <c r="J1243" s="134"/>
      <c r="K1243" s="123"/>
    </row>
    <row r="1244" spans="3:11">
      <c r="C1244" s="159"/>
      <c r="D1244" s="203"/>
      <c r="E1244" s="134"/>
      <c r="F1244" s="134"/>
      <c r="G1244" s="134"/>
      <c r="H1244" s="134"/>
      <c r="I1244" s="134"/>
      <c r="J1244" s="148"/>
      <c r="K1244" s="124"/>
    </row>
    <row r="1245" spans="3:11">
      <c r="C1245" s="159"/>
      <c r="D1245" s="202" t="s">
        <v>571</v>
      </c>
      <c r="E1245" s="134">
        <v>1</v>
      </c>
      <c r="F1245" s="134">
        <v>1</v>
      </c>
      <c r="G1245" s="134">
        <f>54.65+54.6175</f>
        <v>109.2675</v>
      </c>
      <c r="H1245" s="134"/>
      <c r="I1245" s="233"/>
      <c r="J1245" s="134">
        <f>+PRODUCT(E1245:I1245)</f>
        <v>109.2675</v>
      </c>
      <c r="K1245" s="191" t="s">
        <v>601</v>
      </c>
    </row>
    <row r="1246" spans="3:11">
      <c r="C1246" s="159"/>
      <c r="D1246" s="130"/>
      <c r="E1246" s="134"/>
      <c r="F1246" s="134"/>
      <c r="G1246" s="134"/>
      <c r="H1246" s="132"/>
      <c r="I1246" s="134"/>
      <c r="J1246" s="134"/>
      <c r="K1246" s="123"/>
    </row>
    <row r="1247" spans="3:11">
      <c r="C1247" s="159"/>
      <c r="D1247" s="110" t="str">
        <f>+CONCATENATE("TOTAL DE ",D1238)</f>
        <v>TOTAL DE ESTRUCTURA METÁLICA</v>
      </c>
      <c r="E1247" s="135"/>
      <c r="F1247" s="135"/>
      <c r="G1247" s="135"/>
      <c r="H1247" s="132"/>
      <c r="I1247" s="135"/>
      <c r="J1247" s="136">
        <f>SUM(J1245:J1245)</f>
        <v>109.2675</v>
      </c>
      <c r="K1247" s="124" t="str">
        <f>+K1245</f>
        <v>M</v>
      </c>
    </row>
    <row r="1248" spans="3:11">
      <c r="C1248" s="159"/>
      <c r="D1248" s="125"/>
      <c r="E1248" s="146"/>
      <c r="F1248" s="146"/>
      <c r="G1248" s="146"/>
      <c r="H1248" s="146"/>
      <c r="I1248" s="146"/>
      <c r="J1248" s="146"/>
      <c r="K1248" s="126"/>
    </row>
    <row r="1249" spans="3:11">
      <c r="C1249" s="159"/>
      <c r="E1249" s="132"/>
      <c r="F1249" s="132"/>
      <c r="G1249" s="132"/>
      <c r="H1249" s="132"/>
      <c r="I1249" s="132"/>
      <c r="J1249" s="132"/>
      <c r="K1249" s="120"/>
    </row>
    <row r="1250" spans="3:11">
      <c r="C1250" s="159">
        <f>C1238+0.0001</f>
        <v>12.040199999999999</v>
      </c>
      <c r="D1250" s="166" t="str">
        <f>RESUMEN!D170</f>
        <v>PERFIL "T"</v>
      </c>
    </row>
    <row r="1251" spans="3:11" ht="14.4" thickBot="1">
      <c r="C1251" s="159"/>
      <c r="D1251" s="115" t="s">
        <v>19</v>
      </c>
      <c r="E1251" s="115" t="s">
        <v>13</v>
      </c>
      <c r="F1251" s="116" t="s">
        <v>4</v>
      </c>
      <c r="G1251" s="116" t="s">
        <v>5</v>
      </c>
      <c r="H1251" s="116" t="s">
        <v>6</v>
      </c>
      <c r="I1251" s="116" t="s">
        <v>11</v>
      </c>
      <c r="J1251" s="116" t="s">
        <v>7</v>
      </c>
      <c r="K1251" s="115" t="s">
        <v>3</v>
      </c>
    </row>
    <row r="1252" spans="3:11" ht="14.4" thickTop="1">
      <c r="C1252" s="159"/>
      <c r="D1252" s="121"/>
      <c r="E1252" s="134"/>
      <c r="F1252" s="134"/>
      <c r="G1252" s="134"/>
      <c r="H1252" s="134"/>
      <c r="I1252" s="134"/>
      <c r="J1252" s="134"/>
      <c r="K1252" s="122"/>
    </row>
    <row r="1253" spans="3:11">
      <c r="C1253" s="159"/>
      <c r="D1253" s="311" t="s">
        <v>628</v>
      </c>
      <c r="E1253" s="134"/>
      <c r="F1253" s="134"/>
      <c r="G1253" s="134"/>
      <c r="H1253" s="134"/>
      <c r="I1253" s="134"/>
      <c r="J1253" s="134"/>
      <c r="K1253" s="129"/>
    </row>
    <row r="1254" spans="3:11">
      <c r="C1254" s="159"/>
      <c r="D1254" s="311"/>
      <c r="E1254" s="134"/>
      <c r="F1254" s="134"/>
      <c r="G1254" s="134"/>
      <c r="H1254" s="134"/>
      <c r="I1254" s="134"/>
      <c r="J1254" s="148"/>
      <c r="K1254" s="122"/>
    </row>
    <row r="1255" spans="3:11">
      <c r="C1255" s="159"/>
      <c r="D1255" s="204"/>
      <c r="E1255" s="134"/>
      <c r="F1255" s="134"/>
      <c r="G1255" s="134"/>
      <c r="H1255" s="134"/>
      <c r="I1255" s="134"/>
      <c r="J1255" s="134"/>
      <c r="K1255" s="123"/>
    </row>
    <row r="1256" spans="3:11">
      <c r="C1256" s="159"/>
      <c r="D1256" s="203"/>
      <c r="E1256" s="134"/>
      <c r="F1256" s="134"/>
      <c r="G1256" s="134"/>
      <c r="H1256" s="134"/>
      <c r="I1256" s="134"/>
      <c r="J1256" s="148"/>
      <c r="K1256" s="124"/>
    </row>
    <row r="1257" spans="3:11">
      <c r="C1257" s="159"/>
      <c r="D1257" s="202" t="s">
        <v>630</v>
      </c>
      <c r="E1257" s="134">
        <v>1</v>
      </c>
      <c r="F1257" s="134">
        <v>16</v>
      </c>
      <c r="G1257" s="134">
        <f>10.1688+10.1747</f>
        <v>20.343499999999999</v>
      </c>
      <c r="H1257" s="134"/>
      <c r="I1257" s="233"/>
      <c r="J1257" s="134">
        <f>+PRODUCT(E1257:I1257)</f>
        <v>325.49599999999998</v>
      </c>
      <c r="K1257" s="191" t="s">
        <v>601</v>
      </c>
    </row>
    <row r="1258" spans="3:11">
      <c r="C1258" s="159"/>
      <c r="D1258" s="202" t="s">
        <v>631</v>
      </c>
      <c r="E1258" s="134">
        <v>1</v>
      </c>
      <c r="F1258" s="134">
        <v>24</v>
      </c>
      <c r="G1258" s="134">
        <f>10.0088+10.0147</f>
        <v>20.023499999999999</v>
      </c>
      <c r="H1258" s="134"/>
      <c r="I1258" s="233"/>
      <c r="J1258" s="134">
        <f>+PRODUCT(E1258:I1258)</f>
        <v>480.56399999999996</v>
      </c>
      <c r="K1258" s="191"/>
    </row>
    <row r="1259" spans="3:11">
      <c r="C1259" s="159"/>
      <c r="D1259" s="130"/>
      <c r="E1259" s="134"/>
      <c r="F1259" s="134"/>
      <c r="G1259" s="134"/>
      <c r="H1259" s="132"/>
      <c r="I1259" s="134"/>
      <c r="J1259" s="134"/>
      <c r="K1259" s="123"/>
    </row>
    <row r="1260" spans="3:11">
      <c r="C1260" s="159"/>
      <c r="D1260" s="110" t="str">
        <f>+CONCATENATE("TOTAL DE ",D1250)</f>
        <v>TOTAL DE PERFIL "T"</v>
      </c>
      <c r="E1260" s="135"/>
      <c r="F1260" s="135"/>
      <c r="G1260" s="135"/>
      <c r="H1260" s="132"/>
      <c r="I1260" s="135"/>
      <c r="J1260" s="136">
        <f>SUM(J1257:J1258)</f>
        <v>806.06</v>
      </c>
      <c r="K1260" s="124" t="str">
        <f>+K1257</f>
        <v>M</v>
      </c>
    </row>
    <row r="1261" spans="3:11">
      <c r="C1261" s="159"/>
      <c r="D1261" s="125"/>
      <c r="E1261" s="146"/>
      <c r="F1261" s="146"/>
      <c r="G1261" s="146"/>
      <c r="H1261" s="146"/>
      <c r="I1261" s="146"/>
      <c r="J1261" s="146"/>
      <c r="K1261" s="126"/>
    </row>
    <row r="1262" spans="3:11">
      <c r="C1262" s="159"/>
      <c r="D1262" s="166"/>
      <c r="E1262" s="132"/>
      <c r="F1262" s="132"/>
      <c r="G1262" s="132"/>
      <c r="H1262" s="132"/>
      <c r="I1262" s="132"/>
      <c r="J1262" s="132"/>
      <c r="K1262" s="120"/>
    </row>
    <row r="1263" spans="3:11">
      <c r="C1263" s="159">
        <f>C1237+0.0001</f>
        <v>12.040099999999999</v>
      </c>
      <c r="D1263" s="166" t="str">
        <f>RESUMEN!D171</f>
        <v>MALLA OLIMPICA  DE PROTECCION GALVANIZADA</v>
      </c>
    </row>
    <row r="1264" spans="3:11" ht="14.4" thickBot="1">
      <c r="C1264" s="159"/>
      <c r="D1264" s="115" t="s">
        <v>19</v>
      </c>
      <c r="E1264" s="115" t="s">
        <v>13</v>
      </c>
      <c r="F1264" s="116" t="s">
        <v>4</v>
      </c>
      <c r="G1264" s="116" t="s">
        <v>5</v>
      </c>
      <c r="H1264" s="116" t="s">
        <v>6</v>
      </c>
      <c r="I1264" s="116" t="s">
        <v>11</v>
      </c>
      <c r="J1264" s="116" t="s">
        <v>7</v>
      </c>
      <c r="K1264" s="115" t="s">
        <v>3</v>
      </c>
    </row>
    <row r="1265" spans="3:11" ht="14.4" thickTop="1">
      <c r="C1265" s="159"/>
      <c r="D1265" s="121"/>
      <c r="E1265" s="134"/>
      <c r="F1265" s="134"/>
      <c r="G1265" s="134"/>
      <c r="H1265" s="134"/>
      <c r="I1265" s="134"/>
      <c r="J1265" s="134"/>
      <c r="K1265" s="122"/>
    </row>
    <row r="1266" spans="3:11">
      <c r="C1266" s="159"/>
      <c r="D1266" s="311" t="s">
        <v>602</v>
      </c>
      <c r="E1266" s="134"/>
      <c r="F1266" s="134"/>
      <c r="G1266" s="134"/>
      <c r="H1266" s="134"/>
      <c r="I1266" s="134"/>
      <c r="J1266" s="134"/>
      <c r="K1266" s="129"/>
    </row>
    <row r="1267" spans="3:11">
      <c r="C1267" s="159"/>
      <c r="D1267" s="311"/>
      <c r="E1267" s="134"/>
      <c r="F1267" s="134"/>
      <c r="G1267" s="134"/>
      <c r="H1267" s="134"/>
      <c r="I1267" s="134"/>
      <c r="J1267" s="148"/>
      <c r="K1267" s="122"/>
    </row>
    <row r="1268" spans="3:11">
      <c r="C1268" s="159"/>
      <c r="D1268" s="202" t="s">
        <v>603</v>
      </c>
      <c r="E1268" s="134">
        <v>1</v>
      </c>
      <c r="F1268" s="134">
        <v>16</v>
      </c>
      <c r="G1268" s="134" t="s">
        <v>56</v>
      </c>
      <c r="H1268" s="134">
        <v>12.892899999999999</v>
      </c>
      <c r="I1268" s="233"/>
      <c r="J1268" s="134">
        <f>+PRODUCT(E1268:I1268)</f>
        <v>206.28639999999999</v>
      </c>
      <c r="K1268" s="191" t="s">
        <v>10</v>
      </c>
    </row>
    <row r="1269" spans="3:11">
      <c r="C1269" s="159"/>
      <c r="D1269" s="202" t="s">
        <v>604</v>
      </c>
      <c r="E1269" s="134">
        <v>1</v>
      </c>
      <c r="F1269" s="134">
        <v>24</v>
      </c>
      <c r="G1269" s="134" t="s">
        <v>56</v>
      </c>
      <c r="H1269" s="132">
        <v>12.508699999999999</v>
      </c>
      <c r="I1269" s="233"/>
      <c r="J1269" s="134">
        <f>+PRODUCT(E1269:I1269)</f>
        <v>300.2088</v>
      </c>
      <c r="K1269" s="191"/>
    </row>
    <row r="1270" spans="3:11">
      <c r="C1270" s="159"/>
      <c r="D1270" s="130"/>
      <c r="E1270" s="134"/>
      <c r="F1270" s="134"/>
      <c r="G1270" s="134"/>
      <c r="H1270" s="132"/>
      <c r="I1270" s="134"/>
      <c r="J1270" s="134"/>
      <c r="K1270" s="123"/>
    </row>
    <row r="1271" spans="3:11">
      <c r="C1271" s="159"/>
      <c r="D1271" s="110" t="str">
        <f>+CONCATENATE("TOTAL DE ",D1263)</f>
        <v>TOTAL DE MALLA OLIMPICA  DE PROTECCION GALVANIZADA</v>
      </c>
      <c r="E1271" s="135"/>
      <c r="F1271" s="135"/>
      <c r="G1271" s="135"/>
      <c r="H1271" s="132"/>
      <c r="I1271" s="135"/>
      <c r="J1271" s="136">
        <f>SUM(J1268:J1269)</f>
        <v>506.49519999999995</v>
      </c>
      <c r="K1271" s="124" t="str">
        <f>+K1268</f>
        <v>M2</v>
      </c>
    </row>
    <row r="1272" spans="3:11">
      <c r="C1272" s="159"/>
      <c r="D1272" s="125"/>
      <c r="E1272" s="146"/>
      <c r="F1272" s="146"/>
      <c r="G1272" s="146"/>
      <c r="H1272" s="146"/>
      <c r="I1272" s="146"/>
      <c r="J1272" s="146"/>
      <c r="K1272" s="126"/>
    </row>
    <row r="1273" spans="3:11">
      <c r="C1273" s="159"/>
      <c r="E1273" s="132"/>
      <c r="F1273" s="132"/>
      <c r="G1273" s="132"/>
      <c r="H1273" s="132"/>
      <c r="I1273" s="132"/>
      <c r="J1273" s="132"/>
      <c r="K1273" s="120"/>
    </row>
    <row r="1274" spans="3:11">
      <c r="C1274" s="159">
        <f>C1263+0.0001</f>
        <v>12.040199999999999</v>
      </c>
      <c r="D1274" s="166" t="str">
        <f>RESUMEN!D172</f>
        <v>PINTURA DE CERCO METALICO</v>
      </c>
    </row>
    <row r="1275" spans="3:11" ht="14.4" thickBot="1">
      <c r="C1275" s="159"/>
      <c r="D1275" s="115" t="s">
        <v>19</v>
      </c>
      <c r="E1275" s="115" t="s">
        <v>13</v>
      </c>
      <c r="F1275" s="116" t="s">
        <v>4</v>
      </c>
      <c r="G1275" s="116" t="s">
        <v>5</v>
      </c>
      <c r="H1275" s="116" t="s">
        <v>6</v>
      </c>
      <c r="I1275" s="116" t="s">
        <v>11</v>
      </c>
      <c r="J1275" s="116" t="s">
        <v>7</v>
      </c>
      <c r="K1275" s="115" t="s">
        <v>3</v>
      </c>
    </row>
    <row r="1276" spans="3:11" ht="14.4" thickTop="1">
      <c r="C1276" s="159"/>
      <c r="D1276" s="121"/>
      <c r="E1276" s="134"/>
      <c r="F1276" s="134"/>
      <c r="G1276" s="134"/>
      <c r="H1276" s="134"/>
      <c r="I1276" s="134"/>
      <c r="J1276" s="134"/>
      <c r="K1276" s="122"/>
    </row>
    <row r="1277" spans="3:11">
      <c r="C1277" s="159"/>
      <c r="D1277" s="311" t="s">
        <v>622</v>
      </c>
      <c r="E1277" s="134"/>
      <c r="F1277" s="134"/>
      <c r="G1277" s="134"/>
      <c r="H1277" s="134"/>
      <c r="I1277" s="134"/>
      <c r="J1277" s="134"/>
      <c r="K1277" s="129"/>
    </row>
    <row r="1278" spans="3:11">
      <c r="C1278" s="159"/>
      <c r="D1278" s="311"/>
      <c r="E1278" s="134"/>
      <c r="F1278" s="134"/>
      <c r="G1278" s="134"/>
      <c r="H1278" s="134"/>
      <c r="I1278" s="134"/>
      <c r="J1278" s="148"/>
      <c r="K1278" s="122"/>
    </row>
    <row r="1279" spans="3:11">
      <c r="C1279" s="159"/>
      <c r="D1279" s="202" t="s">
        <v>623</v>
      </c>
      <c r="E1279" s="134">
        <v>2</v>
      </c>
      <c r="F1279" s="134">
        <v>1</v>
      </c>
      <c r="G1279" s="134">
        <v>109.27</v>
      </c>
      <c r="H1279" s="134"/>
      <c r="I1279" s="134">
        <v>5.6</v>
      </c>
      <c r="J1279" s="134">
        <f>+PRODUCT(E1279:I1279)</f>
        <v>1223.8239999999998</v>
      </c>
      <c r="K1279" s="191" t="s">
        <v>10</v>
      </c>
    </row>
    <row r="1280" spans="3:11">
      <c r="C1280" s="159"/>
      <c r="D1280" s="130"/>
      <c r="E1280" s="134"/>
      <c r="F1280" s="134"/>
      <c r="G1280" s="134"/>
      <c r="H1280" s="132"/>
      <c r="I1280" s="134"/>
      <c r="J1280" s="134"/>
      <c r="K1280" s="123"/>
    </row>
    <row r="1281" spans="3:11">
      <c r="C1281" s="159"/>
      <c r="D1281" s="110" t="str">
        <f>+CONCATENATE("TOTAL DE ",D1274)</f>
        <v>TOTAL DE PINTURA DE CERCO METALICO</v>
      </c>
      <c r="E1281" s="135"/>
      <c r="F1281" s="135"/>
      <c r="G1281" s="135"/>
      <c r="H1281" s="132"/>
      <c r="I1281" s="135"/>
      <c r="J1281" s="136">
        <f>SUM(J1279:J1279)</f>
        <v>1223.8239999999998</v>
      </c>
      <c r="K1281" s="124" t="str">
        <f>+K1279</f>
        <v>M2</v>
      </c>
    </row>
    <row r="1282" spans="3:11">
      <c r="C1282" s="159"/>
      <c r="D1282" s="125"/>
      <c r="E1282" s="146"/>
      <c r="F1282" s="146"/>
      <c r="G1282" s="146"/>
      <c r="H1282" s="146"/>
      <c r="I1282" s="146"/>
      <c r="J1282" s="146"/>
      <c r="K1282" s="126"/>
    </row>
    <row r="1283" spans="3:11">
      <c r="C1283" s="159"/>
      <c r="D1283" s="166"/>
      <c r="E1283" s="132"/>
      <c r="F1283" s="132"/>
      <c r="G1283" s="132"/>
      <c r="H1283" s="132"/>
      <c r="I1283" s="132"/>
      <c r="J1283" s="132"/>
      <c r="K1283" s="120"/>
    </row>
    <row r="1284" spans="3:11">
      <c r="C1284" s="157">
        <v>13</v>
      </c>
      <c r="D1284" s="139" t="str">
        <f>RESUMEN!D173</f>
        <v>ARBOLIZACIÓN Y AREAS VERDES</v>
      </c>
    </row>
    <row r="1285" spans="3:11">
      <c r="C1285" s="158">
        <f>C1284+0.01</f>
        <v>13.01</v>
      </c>
      <c r="D1285" s="257" t="str">
        <f>RESUMEN!D174</f>
        <v>GRASS NATURAL</v>
      </c>
    </row>
    <row r="1286" spans="3:11">
      <c r="C1286" s="159">
        <f>C1285+0.0001</f>
        <v>13.0101</v>
      </c>
      <c r="D1286" s="268" t="str">
        <f>RESUMEN!D162</f>
        <v>TRAZO Y REPLANTEO C/ EQUIPO</v>
      </c>
    </row>
    <row r="1287" spans="3:11" ht="14.4" thickBot="1">
      <c r="C1287" s="159"/>
      <c r="D1287" s="115" t="s">
        <v>19</v>
      </c>
      <c r="E1287" s="115" t="s">
        <v>13</v>
      </c>
      <c r="F1287" s="116" t="s">
        <v>4</v>
      </c>
      <c r="G1287" s="116" t="s">
        <v>5</v>
      </c>
      <c r="H1287" s="116" t="s">
        <v>6</v>
      </c>
      <c r="I1287" s="116" t="s">
        <v>32</v>
      </c>
      <c r="J1287" s="116" t="s">
        <v>7</v>
      </c>
      <c r="K1287" s="115" t="s">
        <v>3</v>
      </c>
    </row>
    <row r="1288" spans="3:11" ht="14.4" thickTop="1">
      <c r="C1288" s="159"/>
      <c r="D1288" s="121"/>
      <c r="E1288" s="134"/>
      <c r="F1288" s="134"/>
      <c r="G1288" s="134"/>
      <c r="H1288" s="134"/>
      <c r="I1288" s="134"/>
      <c r="J1288" s="134"/>
      <c r="K1288" s="122"/>
    </row>
    <row r="1289" spans="3:11">
      <c r="C1289" s="159"/>
      <c r="D1289" s="312" t="s">
        <v>349</v>
      </c>
      <c r="E1289" s="134"/>
      <c r="F1289" s="134"/>
      <c r="G1289" s="134"/>
      <c r="H1289" s="134"/>
      <c r="I1289" s="134"/>
      <c r="J1289" s="134"/>
      <c r="K1289" s="122"/>
    </row>
    <row r="1290" spans="3:11">
      <c r="C1290" s="159"/>
      <c r="D1290" s="312"/>
      <c r="E1290" s="134"/>
      <c r="F1290" s="134"/>
      <c r="G1290" s="134"/>
      <c r="H1290" s="134"/>
      <c r="I1290" s="134"/>
      <c r="J1290" s="134"/>
      <c r="K1290" s="129"/>
    </row>
    <row r="1291" spans="3:11">
      <c r="C1291" s="159"/>
      <c r="D1291" s="184" t="str">
        <f>D1286</f>
        <v>TRAZO Y REPLANTEO C/ EQUIPO</v>
      </c>
      <c r="E1291" s="134"/>
      <c r="F1291" s="134"/>
      <c r="G1291" s="134"/>
      <c r="H1291" s="134"/>
      <c r="I1291" s="134"/>
      <c r="J1291" s="134"/>
      <c r="K1291" s="123" t="s">
        <v>10</v>
      </c>
    </row>
    <row r="1292" spans="3:11">
      <c r="C1292" s="159"/>
      <c r="D1292" s="164"/>
      <c r="E1292" s="134"/>
      <c r="F1292" s="134"/>
      <c r="G1292" s="134"/>
      <c r="H1292" s="134"/>
      <c r="I1292" s="134"/>
      <c r="J1292" s="134"/>
      <c r="K1292" s="123"/>
    </row>
    <row r="1293" spans="3:11">
      <c r="C1293" s="159"/>
      <c r="D1293" s="131" t="s">
        <v>620</v>
      </c>
      <c r="E1293" s="134">
        <v>1</v>
      </c>
      <c r="F1293" s="134">
        <v>1</v>
      </c>
      <c r="G1293" s="134" t="s">
        <v>56</v>
      </c>
      <c r="H1293" s="134">
        <v>148.3588</v>
      </c>
      <c r="I1293" s="134"/>
      <c r="J1293" s="134">
        <f>+PRODUCT(E1293:I1293)</f>
        <v>148.3588</v>
      </c>
      <c r="K1293" s="123"/>
    </row>
    <row r="1294" spans="3:11">
      <c r="C1294" s="159"/>
      <c r="D1294" s="131" t="s">
        <v>619</v>
      </c>
      <c r="E1294" s="134">
        <v>1</v>
      </c>
      <c r="F1294" s="134">
        <v>4</v>
      </c>
      <c r="G1294" s="134" t="s">
        <v>56</v>
      </c>
      <c r="H1294" s="134">
        <v>1.452</v>
      </c>
      <c r="I1294" s="147"/>
      <c r="J1294" s="134">
        <f>+PRODUCT(E1294:I1294)</f>
        <v>5.8079999999999998</v>
      </c>
      <c r="K1294" s="122"/>
    </row>
    <row r="1295" spans="3:11">
      <c r="C1295" s="159"/>
      <c r="D1295" s="111" t="str">
        <f>+CONCATENATE("TOTAL DE ",D1286)</f>
        <v>TOTAL DE TRAZO Y REPLANTEO C/ EQUIPO</v>
      </c>
      <c r="E1295" s="135"/>
      <c r="F1295" s="135"/>
      <c r="G1295" s="135"/>
      <c r="H1295" s="135"/>
      <c r="I1295" s="135"/>
      <c r="J1295" s="136">
        <f>+SUM(J1288:J1294)</f>
        <v>154.16679999999999</v>
      </c>
      <c r="K1295" s="124" t="str">
        <f>+K1291</f>
        <v>M2</v>
      </c>
    </row>
    <row r="1296" spans="3:11">
      <c r="C1296" s="159"/>
      <c r="D1296" s="125"/>
      <c r="E1296" s="146"/>
      <c r="F1296" s="146"/>
      <c r="G1296" s="146"/>
      <c r="H1296" s="146"/>
      <c r="I1296" s="146"/>
      <c r="J1296" s="146"/>
      <c r="K1296" s="126"/>
    </row>
    <row r="1297" spans="3:11">
      <c r="C1297" s="158"/>
      <c r="D1297" s="182"/>
    </row>
    <row r="1298" spans="3:11">
      <c r="C1298" s="159">
        <f>C1286+0.0001</f>
        <v>13.010199999999999</v>
      </c>
      <c r="D1298" s="268" t="str">
        <f>RESUMEN!D176</f>
        <v>EXCAVACION A MANO EN TERRENO NORMAL</v>
      </c>
      <c r="E1298" s="114"/>
      <c r="F1298" s="114"/>
      <c r="G1298" s="114"/>
      <c r="H1298" s="114"/>
      <c r="I1298" s="114"/>
      <c r="J1298" s="114"/>
    </row>
    <row r="1299" spans="3:11" ht="14.4" thickBot="1">
      <c r="C1299" s="159"/>
      <c r="D1299" s="115" t="s">
        <v>19</v>
      </c>
      <c r="E1299" s="115" t="s">
        <v>13</v>
      </c>
      <c r="F1299" s="116" t="s">
        <v>4</v>
      </c>
      <c r="G1299" s="116" t="s">
        <v>5</v>
      </c>
      <c r="H1299" s="116" t="s">
        <v>6</v>
      </c>
      <c r="I1299" s="116" t="s">
        <v>11</v>
      </c>
      <c r="J1299" s="116" t="s">
        <v>7</v>
      </c>
      <c r="K1299" s="115" t="s">
        <v>3</v>
      </c>
    </row>
    <row r="1300" spans="3:11" ht="14.4" thickTop="1">
      <c r="C1300" s="159"/>
      <c r="D1300" s="121"/>
      <c r="E1300" s="134"/>
      <c r="F1300" s="134"/>
      <c r="G1300" s="134"/>
      <c r="H1300" s="134"/>
      <c r="I1300" s="134"/>
      <c r="J1300" s="134"/>
      <c r="K1300" s="122"/>
    </row>
    <row r="1301" spans="3:11">
      <c r="C1301" s="159"/>
      <c r="D1301" s="311" t="s">
        <v>455</v>
      </c>
      <c r="E1301" s="134"/>
      <c r="F1301" s="134"/>
      <c r="G1301" s="134"/>
      <c r="H1301" s="134"/>
      <c r="I1301" s="134"/>
      <c r="J1301" s="134"/>
      <c r="K1301" s="122"/>
    </row>
    <row r="1302" spans="3:11">
      <c r="C1302" s="159"/>
      <c r="D1302" s="311"/>
      <c r="E1302" s="134"/>
      <c r="F1302" s="134"/>
      <c r="G1302" s="134"/>
      <c r="H1302" s="134"/>
      <c r="I1302" s="134"/>
      <c r="J1302" s="134"/>
      <c r="K1302" s="129"/>
    </row>
    <row r="1303" spans="3:11">
      <c r="C1303" s="159"/>
      <c r="D1303" s="311"/>
      <c r="E1303" s="134"/>
      <c r="F1303" s="134"/>
      <c r="G1303" s="134"/>
      <c r="H1303" s="134"/>
      <c r="I1303" s="134"/>
      <c r="J1303" s="148"/>
      <c r="K1303" s="122"/>
    </row>
    <row r="1304" spans="3:11">
      <c r="C1304" s="159"/>
      <c r="D1304" s="222" t="s">
        <v>572</v>
      </c>
      <c r="E1304" s="134">
        <v>1</v>
      </c>
      <c r="F1304" s="134">
        <v>1</v>
      </c>
      <c r="G1304" s="134" t="s">
        <v>56</v>
      </c>
      <c r="H1304" s="134">
        <v>148.3588</v>
      </c>
      <c r="I1304" s="134">
        <v>0.1</v>
      </c>
      <c r="J1304" s="134">
        <f>+PRODUCT(E1304:I1304)</f>
        <v>14.835880000000001</v>
      </c>
      <c r="K1304" s="123" t="s">
        <v>12</v>
      </c>
    </row>
    <row r="1305" spans="3:11">
      <c r="C1305" s="159"/>
      <c r="D1305" s="110"/>
      <c r="E1305" s="134"/>
      <c r="F1305" s="134"/>
      <c r="G1305" s="134"/>
      <c r="H1305" s="134"/>
      <c r="I1305" s="134"/>
      <c r="J1305" s="134"/>
      <c r="K1305" s="122"/>
    </row>
    <row r="1306" spans="3:11">
      <c r="C1306" s="159"/>
      <c r="D1306" s="110" t="str">
        <f>+CONCATENATE("TOTAL DE ",D1298)</f>
        <v>TOTAL DE EXCAVACION A MANO EN TERRENO NORMAL</v>
      </c>
      <c r="E1306" s="135"/>
      <c r="F1306" s="135"/>
      <c r="G1306" s="135"/>
      <c r="H1306" s="135"/>
      <c r="I1306" s="135"/>
      <c r="J1306" s="136">
        <f>+SUM(J1300:J1304)</f>
        <v>14.835880000000001</v>
      </c>
      <c r="K1306" s="124" t="str">
        <f>+K1304</f>
        <v>M3</v>
      </c>
    </row>
    <row r="1307" spans="3:11">
      <c r="C1307" s="159"/>
      <c r="D1307" s="125"/>
      <c r="E1307" s="146"/>
      <c r="F1307" s="146"/>
      <c r="G1307" s="146"/>
      <c r="H1307" s="146"/>
      <c r="I1307" s="146"/>
      <c r="J1307" s="146"/>
      <c r="K1307" s="126"/>
    </row>
    <row r="1309" spans="3:11">
      <c r="C1309" s="159">
        <f>C1298+0.0001</f>
        <v>13.010299999999999</v>
      </c>
      <c r="D1309" s="268" t="str">
        <f>RESUMEN!D177</f>
        <v>ELIMINACION DE MATERIAL EXCEDENTE C/VOLQUETE DE 15M3 D=25KM</v>
      </c>
      <c r="E1309" s="132"/>
      <c r="F1309" s="132"/>
      <c r="G1309" s="132"/>
      <c r="H1309" s="132"/>
      <c r="I1309" s="132"/>
      <c r="J1309" s="132"/>
      <c r="K1309" s="120"/>
    </row>
    <row r="1310" spans="3:11" ht="14.4" thickBot="1">
      <c r="C1310" s="159"/>
      <c r="D1310" s="115" t="s">
        <v>19</v>
      </c>
      <c r="E1310" s="115" t="s">
        <v>13</v>
      </c>
      <c r="F1310" s="116" t="s">
        <v>4</v>
      </c>
      <c r="G1310" s="116" t="s">
        <v>5</v>
      </c>
      <c r="H1310" s="116" t="s">
        <v>6</v>
      </c>
      <c r="I1310" s="116" t="s">
        <v>11</v>
      </c>
      <c r="J1310" s="116" t="s">
        <v>7</v>
      </c>
      <c r="K1310" s="115" t="s">
        <v>3</v>
      </c>
    </row>
    <row r="1311" spans="3:11" ht="14.4" thickTop="1">
      <c r="C1311" s="159"/>
      <c r="D1311" s="311" t="s">
        <v>24</v>
      </c>
      <c r="E1311" s="134"/>
      <c r="F1311" s="134"/>
      <c r="G1311" s="134"/>
      <c r="H1311" s="134"/>
      <c r="I1311" s="134"/>
      <c r="J1311" s="134"/>
      <c r="K1311" s="122"/>
    </row>
    <row r="1312" spans="3:11">
      <c r="C1312" s="159"/>
      <c r="D1312" s="311"/>
      <c r="E1312" s="134"/>
      <c r="F1312" s="134"/>
      <c r="G1312" s="134"/>
      <c r="H1312" s="134"/>
      <c r="I1312" s="134"/>
      <c r="J1312" s="134"/>
      <c r="K1312" s="129"/>
    </row>
    <row r="1313" spans="3:11">
      <c r="C1313" s="159"/>
      <c r="D1313" s="311"/>
      <c r="E1313" s="134"/>
      <c r="F1313" s="134"/>
      <c r="G1313" s="134"/>
      <c r="H1313" s="134"/>
      <c r="I1313" s="134"/>
      <c r="J1313" s="148"/>
      <c r="K1313" s="122"/>
    </row>
    <row r="1314" spans="3:11">
      <c r="C1314" s="159"/>
      <c r="D1314" s="133" t="s">
        <v>605</v>
      </c>
      <c r="E1314" s="134">
        <v>1.25</v>
      </c>
      <c r="F1314" s="134">
        <v>1</v>
      </c>
      <c r="G1314" s="134" t="s">
        <v>15</v>
      </c>
      <c r="H1314" s="134">
        <f>+J1306</f>
        <v>14.835880000000001</v>
      </c>
      <c r="I1314" s="134"/>
      <c r="J1314" s="134">
        <f>+PRODUCT(E1314:I1314)</f>
        <v>18.54485</v>
      </c>
      <c r="K1314" s="123" t="s">
        <v>12</v>
      </c>
    </row>
    <row r="1315" spans="3:11">
      <c r="C1315" s="159"/>
      <c r="D1315" s="125"/>
      <c r="E1315" s="146"/>
      <c r="F1315" s="146"/>
      <c r="G1315" s="146"/>
      <c r="H1315" s="146"/>
      <c r="I1315" s="146"/>
      <c r="J1315" s="134"/>
      <c r="K1315" s="126"/>
    </row>
    <row r="1316" spans="3:11" ht="27.6">
      <c r="C1316" s="159"/>
      <c r="D1316" s="269" t="str">
        <f>+CONCATENATE("TOTAL DE ",D1309)</f>
        <v>TOTAL DE ELIMINACION DE MATERIAL EXCEDENTE C/VOLQUETE DE 15M3 D=25KM</v>
      </c>
      <c r="E1316" s="270"/>
      <c r="F1316" s="270"/>
      <c r="G1316" s="270"/>
      <c r="H1316" s="270"/>
      <c r="I1316" s="270"/>
      <c r="J1316" s="241">
        <f>+SUM(J1313:J1315)</f>
        <v>18.54485</v>
      </c>
      <c r="K1316" s="271" t="str">
        <f>K1314</f>
        <v>M3</v>
      </c>
    </row>
    <row r="1317" spans="3:11">
      <c r="C1317" s="160"/>
      <c r="D1317" s="213"/>
      <c r="E1317" s="132"/>
      <c r="F1317" s="132"/>
      <c r="G1317" s="132"/>
      <c r="H1317" s="132"/>
      <c r="I1317" s="132"/>
      <c r="J1317" s="132"/>
      <c r="K1317" s="113"/>
    </row>
    <row r="1318" spans="3:11">
      <c r="C1318" s="159">
        <f>C1309+0.0001</f>
        <v>13.010399999999999</v>
      </c>
      <c r="D1318" s="268" t="str">
        <f>RESUMEN!D178</f>
        <v>SUMINISTRO E INSTALACION DE GRASS EN CHAMPA (INC. GRASS Y HUMUS)</v>
      </c>
      <c r="E1318" s="114"/>
      <c r="F1318" s="114"/>
      <c r="G1318" s="114"/>
      <c r="H1318" s="114"/>
      <c r="I1318" s="114"/>
      <c r="J1318" s="114"/>
    </row>
    <row r="1319" spans="3:11" ht="14.4" thickBot="1">
      <c r="C1319" s="159"/>
      <c r="D1319" s="115" t="s">
        <v>19</v>
      </c>
      <c r="E1319" s="115" t="s">
        <v>13</v>
      </c>
      <c r="F1319" s="116" t="s">
        <v>4</v>
      </c>
      <c r="G1319" s="116" t="s">
        <v>5</v>
      </c>
      <c r="H1319" s="116" t="s">
        <v>6</v>
      </c>
      <c r="I1319" s="116" t="s">
        <v>11</v>
      </c>
      <c r="J1319" s="116" t="s">
        <v>7</v>
      </c>
      <c r="K1319" s="115" t="s">
        <v>3</v>
      </c>
    </row>
    <row r="1320" spans="3:11" ht="14.4" thickTop="1">
      <c r="C1320" s="159"/>
      <c r="D1320" s="121"/>
      <c r="E1320" s="134"/>
      <c r="F1320" s="134"/>
      <c r="G1320" s="134"/>
      <c r="H1320" s="134"/>
      <c r="I1320" s="134"/>
      <c r="J1320" s="134"/>
      <c r="K1320" s="122"/>
    </row>
    <row r="1321" spans="3:11">
      <c r="C1321" s="159"/>
      <c r="D1321" s="311" t="s">
        <v>459</v>
      </c>
      <c r="E1321" s="134"/>
      <c r="F1321" s="134"/>
      <c r="G1321" s="134"/>
      <c r="H1321" s="134"/>
      <c r="I1321" s="134"/>
      <c r="J1321" s="134"/>
      <c r="K1321" s="122"/>
    </row>
    <row r="1322" spans="3:11">
      <c r="C1322" s="159"/>
      <c r="D1322" s="311"/>
      <c r="E1322" s="134"/>
      <c r="F1322" s="134"/>
      <c r="G1322" s="134"/>
      <c r="H1322" s="134"/>
      <c r="I1322" s="134"/>
      <c r="J1322" s="134"/>
      <c r="K1322" s="129"/>
    </row>
    <row r="1323" spans="3:11">
      <c r="C1323" s="159"/>
      <c r="D1323" s="311"/>
      <c r="E1323" s="134"/>
      <c r="F1323" s="134"/>
      <c r="G1323" s="134"/>
      <c r="H1323" s="134"/>
      <c r="I1323" s="134"/>
      <c r="J1323" s="148"/>
      <c r="K1323" s="122"/>
    </row>
    <row r="1324" spans="3:11">
      <c r="C1324" s="159"/>
      <c r="D1324" s="184" t="s">
        <v>435</v>
      </c>
      <c r="E1324" s="148"/>
      <c r="F1324" s="218"/>
      <c r="G1324" s="218"/>
      <c r="H1324" s="218"/>
      <c r="I1324" s="218"/>
      <c r="K1324" s="123" t="s">
        <v>10</v>
      </c>
    </row>
    <row r="1325" spans="3:11">
      <c r="C1325" s="159"/>
      <c r="D1325" s="131" t="s">
        <v>620</v>
      </c>
      <c r="E1325" s="134">
        <v>1</v>
      </c>
      <c r="F1325" s="134">
        <v>1</v>
      </c>
      <c r="G1325" s="134" t="s">
        <v>56</v>
      </c>
      <c r="H1325" s="134">
        <v>148.3588</v>
      </c>
      <c r="I1325" s="134"/>
      <c r="J1325" s="134">
        <f>+PRODUCT(E1325:I1325)</f>
        <v>148.3588</v>
      </c>
      <c r="K1325" s="122"/>
    </row>
    <row r="1326" spans="3:11">
      <c r="C1326" s="159"/>
      <c r="D1326" s="131" t="s">
        <v>619</v>
      </c>
      <c r="E1326" s="134">
        <v>1</v>
      </c>
      <c r="F1326" s="134">
        <v>4</v>
      </c>
      <c r="G1326" s="134" t="s">
        <v>56</v>
      </c>
      <c r="H1326" s="134">
        <v>1.452</v>
      </c>
      <c r="I1326" s="147"/>
      <c r="J1326" s="134">
        <f>+PRODUCT(E1326:I1326)</f>
        <v>5.8079999999999998</v>
      </c>
      <c r="K1326" s="144"/>
    </row>
    <row r="1327" spans="3:11" ht="27.6">
      <c r="C1327" s="159"/>
      <c r="D1327" s="269" t="str">
        <f>+CONCATENATE("TOTAL DE ",D1318)</f>
        <v>TOTAL DE SUMINISTRO E INSTALACION DE GRASS EN CHAMPA (INC. GRASS Y HUMUS)</v>
      </c>
      <c r="E1327" s="241"/>
      <c r="F1327" s="241"/>
      <c r="G1327" s="241"/>
      <c r="H1327" s="241"/>
      <c r="I1327" s="241"/>
      <c r="J1327" s="241">
        <f>+SUM(J1320:J1326)</f>
        <v>154.16679999999999</v>
      </c>
      <c r="K1327" s="272" t="str">
        <f>+K1324</f>
        <v>M2</v>
      </c>
    </row>
    <row r="1328" spans="3:11">
      <c r="C1328" s="159"/>
      <c r="D1328" s="213"/>
      <c r="E1328" s="114"/>
      <c r="F1328" s="114"/>
      <c r="G1328" s="114"/>
      <c r="H1328" s="114"/>
      <c r="I1328" s="114"/>
      <c r="J1328" s="114"/>
    </row>
    <row r="1329" spans="3:11">
      <c r="C1329" s="158">
        <f>C1285+0.01</f>
        <v>13.02</v>
      </c>
      <c r="D1329" s="257" t="str">
        <f>RESUMEN!D179</f>
        <v>ARBORIZACION</v>
      </c>
    </row>
    <row r="1330" spans="3:11">
      <c r="C1330" s="159">
        <f>C1329+0.0001</f>
        <v>13.020099999999999</v>
      </c>
      <c r="D1330" s="268" t="str">
        <f>RESUMEN!D180</f>
        <v>EXCAVACION DE HOYO PARA PLANTACION DE ÁRBOLES</v>
      </c>
    </row>
    <row r="1331" spans="3:11" ht="14.4" thickBot="1">
      <c r="C1331" s="159"/>
      <c r="D1331" s="115" t="s">
        <v>19</v>
      </c>
      <c r="E1331" s="115" t="s">
        <v>13</v>
      </c>
      <c r="F1331" s="116" t="s">
        <v>4</v>
      </c>
      <c r="G1331" s="116" t="s">
        <v>5</v>
      </c>
      <c r="H1331" s="116" t="s">
        <v>6</v>
      </c>
      <c r="I1331" s="116" t="s">
        <v>11</v>
      </c>
      <c r="J1331" s="116" t="s">
        <v>7</v>
      </c>
      <c r="K1331" s="115" t="s">
        <v>3</v>
      </c>
    </row>
    <row r="1332" spans="3:11" ht="14.4" thickTop="1">
      <c r="C1332" s="159"/>
      <c r="D1332" s="121"/>
      <c r="E1332" s="134"/>
      <c r="F1332" s="134"/>
      <c r="G1332" s="134"/>
      <c r="H1332" s="134"/>
      <c r="I1332" s="134"/>
      <c r="J1332" s="134"/>
      <c r="K1332" s="122"/>
    </row>
    <row r="1333" spans="3:11">
      <c r="C1333" s="159"/>
      <c r="D1333" s="311" t="s">
        <v>461</v>
      </c>
      <c r="E1333" s="134"/>
      <c r="F1333" s="134"/>
      <c r="G1333" s="134"/>
      <c r="H1333" s="134"/>
      <c r="I1333" s="134"/>
      <c r="J1333" s="134"/>
      <c r="K1333" s="122"/>
    </row>
    <row r="1334" spans="3:11">
      <c r="C1334" s="159"/>
      <c r="D1334" s="311"/>
      <c r="E1334" s="134"/>
      <c r="F1334" s="134"/>
      <c r="G1334" s="134"/>
      <c r="H1334" s="134"/>
      <c r="I1334" s="134"/>
      <c r="J1334" s="134"/>
      <c r="K1334" s="121"/>
    </row>
    <row r="1335" spans="3:11">
      <c r="C1335" s="159"/>
      <c r="D1335" s="311"/>
      <c r="E1335" s="134"/>
      <c r="F1335" s="134"/>
      <c r="G1335" s="134"/>
      <c r="H1335" s="134"/>
      <c r="I1335" s="147"/>
      <c r="J1335" s="134"/>
      <c r="K1335" s="144"/>
    </row>
    <row r="1336" spans="3:11">
      <c r="C1336" s="159"/>
      <c r="D1336" s="131" t="s">
        <v>515</v>
      </c>
      <c r="E1336" s="134">
        <v>1</v>
      </c>
      <c r="F1336" s="134">
        <v>12</v>
      </c>
      <c r="G1336" s="134">
        <v>0.25</v>
      </c>
      <c r="H1336" s="134">
        <v>0.25</v>
      </c>
      <c r="I1336" s="134">
        <v>0.6</v>
      </c>
      <c r="J1336" s="134">
        <f>+PRODUCT(E1336:I1336)</f>
        <v>0.44999999999999996</v>
      </c>
      <c r="K1336" s="123" t="s">
        <v>12</v>
      </c>
    </row>
    <row r="1337" spans="3:11">
      <c r="C1337" s="159"/>
      <c r="D1337" s="131" t="s">
        <v>413</v>
      </c>
      <c r="E1337" s="134">
        <v>1</v>
      </c>
      <c r="F1337" s="134">
        <v>12</v>
      </c>
      <c r="G1337" s="134">
        <v>0.25</v>
      </c>
      <c r="H1337" s="134">
        <v>0.25</v>
      </c>
      <c r="I1337" s="134">
        <v>0.6</v>
      </c>
      <c r="J1337" s="134">
        <f t="shared" ref="J1337" si="31">+PRODUCT(E1337:I1337)</f>
        <v>0.44999999999999996</v>
      </c>
      <c r="K1337" s="122"/>
    </row>
    <row r="1338" spans="3:11">
      <c r="C1338" s="159"/>
      <c r="D1338" s="131"/>
      <c r="E1338" s="134"/>
      <c r="F1338" s="134"/>
      <c r="G1338" s="134"/>
      <c r="H1338" s="134"/>
      <c r="I1338" s="134"/>
      <c r="J1338" s="134"/>
      <c r="K1338" s="122"/>
    </row>
    <row r="1339" spans="3:11">
      <c r="C1339" s="159"/>
      <c r="D1339" s="110" t="str">
        <f>+CONCATENATE("TOTAL DE ",D1330)</f>
        <v>TOTAL DE EXCAVACION DE HOYO PARA PLANTACION DE ÁRBOLES</v>
      </c>
      <c r="E1339" s="135"/>
      <c r="F1339" s="135"/>
      <c r="G1339" s="135"/>
      <c r="H1339" s="135"/>
      <c r="I1339" s="135"/>
      <c r="J1339" s="136">
        <f>+SUM(J1332:J1338)</f>
        <v>0.89999999999999991</v>
      </c>
      <c r="K1339" s="124" t="str">
        <f>+K1336</f>
        <v>M3</v>
      </c>
    </row>
    <row r="1340" spans="3:11">
      <c r="C1340" s="159"/>
      <c r="D1340" s="245"/>
      <c r="E1340" s="146"/>
      <c r="F1340" s="146"/>
      <c r="G1340" s="146"/>
      <c r="H1340" s="146"/>
      <c r="I1340" s="146"/>
      <c r="J1340" s="146"/>
      <c r="K1340" s="126"/>
    </row>
    <row r="1341" spans="3:11">
      <c r="C1341" s="160"/>
      <c r="D1341" s="213"/>
      <c r="E1341" s="132"/>
      <c r="F1341" s="132"/>
      <c r="G1341" s="132"/>
      <c r="H1341" s="132"/>
      <c r="I1341" s="132"/>
      <c r="J1341" s="132"/>
      <c r="K1341" s="113"/>
    </row>
    <row r="1342" spans="3:11">
      <c r="C1342" s="159">
        <f>C1330+0.0001</f>
        <v>13.020199999999999</v>
      </c>
      <c r="D1342" s="268" t="str">
        <f>RESUMEN!D181</f>
        <v>EXCAVACION DE HOYO PARA SIEMBRA  DE PLANTAS ORNAMENTALES</v>
      </c>
    </row>
    <row r="1343" spans="3:11" ht="14.4" thickBot="1">
      <c r="C1343" s="159"/>
      <c r="D1343" s="115" t="s">
        <v>19</v>
      </c>
      <c r="E1343" s="115" t="s">
        <v>13</v>
      </c>
      <c r="F1343" s="116" t="s">
        <v>4</v>
      </c>
      <c r="G1343" s="116" t="s">
        <v>5</v>
      </c>
      <c r="H1343" s="116" t="s">
        <v>6</v>
      </c>
      <c r="I1343" s="116" t="s">
        <v>11</v>
      </c>
      <c r="J1343" s="116" t="s">
        <v>7</v>
      </c>
      <c r="K1343" s="115" t="s">
        <v>3</v>
      </c>
    </row>
    <row r="1344" spans="3:11" ht="14.4" thickTop="1">
      <c r="C1344" s="159"/>
      <c r="D1344" s="121"/>
      <c r="E1344" s="134"/>
      <c r="F1344" s="134"/>
      <c r="G1344" s="134"/>
      <c r="H1344" s="134"/>
      <c r="I1344" s="134"/>
      <c r="J1344" s="134"/>
      <c r="K1344" s="122"/>
    </row>
    <row r="1345" spans="3:11">
      <c r="C1345" s="159"/>
      <c r="D1345" s="311" t="s">
        <v>460</v>
      </c>
      <c r="E1345" s="134"/>
      <c r="F1345" s="134"/>
      <c r="G1345" s="134"/>
      <c r="H1345" s="134"/>
      <c r="I1345" s="134"/>
      <c r="J1345" s="134"/>
      <c r="K1345" s="122"/>
    </row>
    <row r="1346" spans="3:11">
      <c r="C1346" s="159"/>
      <c r="D1346" s="311"/>
      <c r="E1346" s="134"/>
      <c r="F1346" s="134"/>
      <c r="G1346" s="134"/>
      <c r="H1346" s="134"/>
      <c r="I1346" s="134"/>
      <c r="J1346" s="134"/>
      <c r="K1346" s="123" t="s">
        <v>12</v>
      </c>
    </row>
    <row r="1347" spans="3:11">
      <c r="C1347" s="159"/>
      <c r="D1347" s="311"/>
      <c r="E1347" s="134"/>
      <c r="F1347" s="134"/>
      <c r="G1347" s="134"/>
      <c r="H1347" s="134"/>
      <c r="I1347" s="147"/>
      <c r="J1347" s="134"/>
      <c r="K1347" s="144"/>
    </row>
    <row r="1348" spans="3:11">
      <c r="C1348" s="159"/>
      <c r="D1348" s="131" t="s">
        <v>462</v>
      </c>
      <c r="E1348" s="134">
        <v>1</v>
      </c>
      <c r="F1348" s="134">
        <v>14</v>
      </c>
      <c r="G1348" s="134">
        <v>0.2</v>
      </c>
      <c r="H1348" s="134">
        <v>0.2</v>
      </c>
      <c r="I1348" s="134">
        <v>0.2</v>
      </c>
      <c r="J1348" s="134">
        <f>+PRODUCT(E1348:I1348)</f>
        <v>0.11200000000000002</v>
      </c>
      <c r="K1348" s="122"/>
    </row>
    <row r="1349" spans="3:11">
      <c r="C1349" s="159"/>
      <c r="D1349" s="131" t="s">
        <v>516</v>
      </c>
      <c r="E1349" s="134">
        <v>1</v>
      </c>
      <c r="F1349" s="134">
        <v>16</v>
      </c>
      <c r="G1349" s="134">
        <v>0.2</v>
      </c>
      <c r="H1349" s="134">
        <v>0.2</v>
      </c>
      <c r="I1349" s="134">
        <v>0.2</v>
      </c>
      <c r="J1349" s="134">
        <f>+PRODUCT(E1349:I1349)</f>
        <v>0.12800000000000003</v>
      </c>
      <c r="K1349" s="122"/>
    </row>
    <row r="1350" spans="3:11">
      <c r="C1350" s="159"/>
      <c r="D1350" s="131"/>
      <c r="E1350" s="134"/>
      <c r="F1350" s="134"/>
      <c r="G1350" s="134"/>
      <c r="H1350" s="134"/>
      <c r="I1350" s="134"/>
      <c r="J1350" s="134"/>
      <c r="K1350" s="122"/>
    </row>
    <row r="1351" spans="3:11" ht="27.6">
      <c r="C1351" s="159"/>
      <c r="D1351" s="110" t="str">
        <f>+CONCATENATE("TOTAL DE ",D1342)</f>
        <v>TOTAL DE EXCAVACION DE HOYO PARA SIEMBRA  DE PLANTAS ORNAMENTALES</v>
      </c>
      <c r="E1351" s="135"/>
      <c r="F1351" s="135"/>
      <c r="G1351" s="135"/>
      <c r="H1351" s="135"/>
      <c r="I1351" s="135"/>
      <c r="J1351" s="136">
        <f>+SUM(J1344:J1350)</f>
        <v>0.24000000000000005</v>
      </c>
      <c r="K1351" s="124" t="str">
        <f>+K1346</f>
        <v>M3</v>
      </c>
    </row>
    <row r="1352" spans="3:11">
      <c r="C1352" s="159"/>
      <c r="D1352" s="245"/>
      <c r="E1352" s="146"/>
      <c r="F1352" s="146"/>
      <c r="G1352" s="146"/>
      <c r="H1352" s="146"/>
      <c r="I1352" s="146"/>
      <c r="J1352" s="146"/>
      <c r="K1352" s="126"/>
    </row>
    <row r="1353" spans="3:11">
      <c r="C1353" s="159"/>
      <c r="D1353" s="213"/>
    </row>
    <row r="1354" spans="3:11">
      <c r="C1354" s="159">
        <f>C1342+0.0001</f>
        <v>13.020299999999999</v>
      </c>
      <c r="D1354" s="268" t="str">
        <f>RESUMEN!D182</f>
        <v>SIEMBRA DE PLANTA ORNAMENTAL LANTANA Y TAPADO DE HOYO DE 20X20X20  CM  (INCLUYE SUMINISTRO)</v>
      </c>
    </row>
    <row r="1355" spans="3:11" ht="14.4" thickBot="1">
      <c r="C1355" s="159"/>
      <c r="D1355" s="115" t="s">
        <v>19</v>
      </c>
      <c r="E1355" s="115" t="s">
        <v>13</v>
      </c>
      <c r="F1355" s="116" t="s">
        <v>4</v>
      </c>
      <c r="G1355" s="116" t="s">
        <v>5</v>
      </c>
      <c r="H1355" s="116" t="s">
        <v>6</v>
      </c>
      <c r="I1355" s="116" t="s">
        <v>11</v>
      </c>
      <c r="J1355" s="116" t="s">
        <v>7</v>
      </c>
      <c r="K1355" s="115" t="s">
        <v>3</v>
      </c>
    </row>
    <row r="1356" spans="3:11" ht="14.4" thickTop="1">
      <c r="C1356" s="159"/>
      <c r="D1356" s="311" t="s">
        <v>460</v>
      </c>
      <c r="E1356" s="134"/>
      <c r="F1356" s="134"/>
      <c r="G1356" s="134"/>
      <c r="H1356" s="134"/>
      <c r="I1356" s="134"/>
      <c r="J1356" s="134"/>
      <c r="K1356" s="122"/>
    </row>
    <row r="1357" spans="3:11">
      <c r="C1357" s="159"/>
      <c r="D1357" s="311"/>
      <c r="E1357" s="134"/>
      <c r="F1357" s="134"/>
      <c r="G1357" s="134"/>
      <c r="H1357" s="134"/>
      <c r="I1357" s="134"/>
      <c r="J1357" s="134"/>
      <c r="K1357" s="123" t="s">
        <v>3</v>
      </c>
    </row>
    <row r="1358" spans="3:11">
      <c r="C1358" s="159"/>
      <c r="D1358" s="311"/>
      <c r="E1358" s="134"/>
      <c r="F1358" s="134"/>
      <c r="G1358" s="134"/>
      <c r="H1358" s="134"/>
      <c r="I1358" s="147"/>
      <c r="J1358" s="134"/>
      <c r="K1358" s="144"/>
    </row>
    <row r="1359" spans="3:11">
      <c r="C1359" s="159"/>
      <c r="D1359" s="131"/>
      <c r="E1359" s="134"/>
      <c r="F1359" s="134"/>
      <c r="G1359" s="134"/>
      <c r="H1359" s="134"/>
      <c r="I1359" s="134"/>
      <c r="J1359" s="134"/>
      <c r="K1359" s="122"/>
    </row>
    <row r="1360" spans="3:11">
      <c r="C1360" s="159"/>
      <c r="D1360" s="131" t="s">
        <v>516</v>
      </c>
      <c r="E1360" s="134">
        <v>1</v>
      </c>
      <c r="F1360" s="134">
        <v>16</v>
      </c>
      <c r="G1360" s="134"/>
      <c r="H1360" s="134"/>
      <c r="I1360" s="134"/>
      <c r="J1360" s="134">
        <f>+PRODUCT(E1360:I1360)</f>
        <v>16</v>
      </c>
      <c r="K1360" s="122"/>
    </row>
    <row r="1361" spans="3:11">
      <c r="C1361" s="159"/>
      <c r="D1361" s="131"/>
      <c r="E1361" s="134"/>
      <c r="F1361" s="134"/>
      <c r="G1361" s="134"/>
      <c r="H1361" s="134"/>
      <c r="I1361" s="134"/>
      <c r="J1361" s="134"/>
      <c r="K1361" s="122"/>
    </row>
    <row r="1362" spans="3:11" ht="27.6">
      <c r="C1362" s="159"/>
      <c r="D1362" s="110" t="str">
        <f>+CONCATENATE("TOTAL DE ",D1354)</f>
        <v>TOTAL DE SIEMBRA DE PLANTA ORNAMENTAL LANTANA Y TAPADO DE HOYO DE 20X20X20  CM  (INCLUYE SUMINISTRO)</v>
      </c>
      <c r="E1362" s="135"/>
      <c r="F1362" s="135"/>
      <c r="G1362" s="135"/>
      <c r="H1362" s="135"/>
      <c r="I1362" s="135"/>
      <c r="J1362" s="136">
        <f>+SUM(J1356:J1361)</f>
        <v>16</v>
      </c>
      <c r="K1362" s="124" t="str">
        <f>+K1357</f>
        <v>UND</v>
      </c>
    </row>
    <row r="1363" spans="3:11">
      <c r="C1363" s="159"/>
      <c r="D1363" s="265"/>
      <c r="E1363" s="146"/>
      <c r="F1363" s="146"/>
      <c r="G1363" s="146"/>
      <c r="H1363" s="146"/>
      <c r="I1363" s="146"/>
      <c r="J1363" s="146"/>
      <c r="K1363" s="126"/>
    </row>
    <row r="1365" spans="3:11">
      <c r="C1365" s="159">
        <f>C1354+0.0001</f>
        <v>13.020399999999999</v>
      </c>
      <c r="D1365" s="268" t="str">
        <f>RESUMEN!D183</f>
        <v>SIEMBRA  DE PLANTA ORNAMENTAL LAUREL ENANO  Y TAPADO DE HOYO DE 20X20X20  CM  (INCLUYE SUMINISTRO)</v>
      </c>
    </row>
    <row r="1366" spans="3:11" ht="14.4" thickBot="1">
      <c r="C1366" s="159"/>
      <c r="D1366" s="115" t="s">
        <v>19</v>
      </c>
      <c r="E1366" s="115" t="s">
        <v>13</v>
      </c>
      <c r="F1366" s="116" t="s">
        <v>4</v>
      </c>
      <c r="G1366" s="116" t="s">
        <v>5</v>
      </c>
      <c r="H1366" s="116" t="s">
        <v>6</v>
      </c>
      <c r="I1366" s="116" t="s">
        <v>11</v>
      </c>
      <c r="J1366" s="116" t="s">
        <v>7</v>
      </c>
      <c r="K1366" s="115" t="s">
        <v>3</v>
      </c>
    </row>
    <row r="1367" spans="3:11" ht="14.4" thickTop="1">
      <c r="C1367" s="159"/>
      <c r="D1367" s="121"/>
      <c r="E1367" s="134"/>
      <c r="F1367" s="134"/>
      <c r="G1367" s="134"/>
      <c r="H1367" s="134"/>
      <c r="I1367" s="134"/>
      <c r="J1367" s="134"/>
      <c r="K1367" s="122"/>
    </row>
    <row r="1368" spans="3:11">
      <c r="C1368" s="159"/>
      <c r="D1368" s="311" t="s">
        <v>460</v>
      </c>
      <c r="E1368" s="134"/>
      <c r="F1368" s="134"/>
      <c r="G1368" s="134"/>
      <c r="H1368" s="134"/>
      <c r="I1368" s="134"/>
      <c r="J1368" s="134"/>
      <c r="K1368" s="122"/>
    </row>
    <row r="1369" spans="3:11">
      <c r="C1369" s="159"/>
      <c r="D1369" s="311"/>
      <c r="E1369" s="134"/>
      <c r="F1369" s="134"/>
      <c r="G1369" s="134"/>
      <c r="H1369" s="134"/>
      <c r="I1369" s="134"/>
      <c r="J1369" s="134"/>
      <c r="K1369" s="123" t="s">
        <v>3</v>
      </c>
    </row>
    <row r="1370" spans="3:11">
      <c r="C1370" s="159"/>
      <c r="D1370" s="311"/>
      <c r="E1370" s="134"/>
      <c r="F1370" s="134"/>
      <c r="G1370" s="134"/>
      <c r="H1370" s="134"/>
      <c r="I1370" s="147"/>
      <c r="J1370" s="134"/>
      <c r="K1370" s="144"/>
    </row>
    <row r="1371" spans="3:11">
      <c r="C1371" s="159"/>
      <c r="D1371" s="131" t="s">
        <v>462</v>
      </c>
      <c r="E1371" s="134">
        <v>1</v>
      </c>
      <c r="F1371" s="134">
        <v>14</v>
      </c>
      <c r="G1371" s="134"/>
      <c r="H1371" s="134"/>
      <c r="I1371" s="134"/>
      <c r="J1371" s="134">
        <f>+PRODUCT(E1371:I1371)</f>
        <v>14</v>
      </c>
      <c r="K1371" s="122"/>
    </row>
    <row r="1372" spans="3:11">
      <c r="C1372" s="159"/>
      <c r="D1372" s="131"/>
      <c r="E1372" s="134"/>
      <c r="F1372" s="134"/>
      <c r="G1372" s="134"/>
      <c r="H1372" s="134"/>
      <c r="I1372" s="134"/>
      <c r="J1372" s="134"/>
      <c r="K1372" s="122"/>
    </row>
    <row r="1373" spans="3:11" ht="27.6">
      <c r="C1373" s="159"/>
      <c r="D1373" s="110" t="str">
        <f>+CONCATENATE("TOTAL DE ",D1365)</f>
        <v>TOTAL DE SIEMBRA  DE PLANTA ORNAMENTAL LAUREL ENANO  Y TAPADO DE HOYO DE 20X20X20  CM  (INCLUYE SUMINISTRO)</v>
      </c>
      <c r="E1373" s="135"/>
      <c r="F1373" s="135"/>
      <c r="G1373" s="135"/>
      <c r="H1373" s="135"/>
      <c r="I1373" s="135"/>
      <c r="J1373" s="136">
        <f>+SUM(J1367:J1372)</f>
        <v>14</v>
      </c>
      <c r="K1373" s="124" t="str">
        <f>+K1369</f>
        <v>UND</v>
      </c>
    </row>
    <row r="1374" spans="3:11">
      <c r="C1374" s="159"/>
      <c r="D1374" s="245"/>
      <c r="E1374" s="146"/>
      <c r="F1374" s="146"/>
      <c r="G1374" s="146"/>
      <c r="H1374" s="146"/>
      <c r="I1374" s="146"/>
      <c r="J1374" s="146"/>
      <c r="K1374" s="126"/>
    </row>
    <row r="1375" spans="3:11">
      <c r="C1375" s="159"/>
      <c r="D1375" s="221"/>
      <c r="E1375" s="132"/>
      <c r="F1375" s="132"/>
      <c r="G1375" s="132"/>
      <c r="H1375" s="132"/>
      <c r="I1375" s="132"/>
      <c r="J1375" s="132"/>
      <c r="K1375" s="120"/>
    </row>
    <row r="1376" spans="3:11">
      <c r="C1376" s="159">
        <f>C1365+0.0001</f>
        <v>13.020499999999998</v>
      </c>
      <c r="D1376" s="268" t="str">
        <f>RESUMEN!D184</f>
        <v>SEMBRA DE ARBOL  HUARANGUAY Y TAPADO DE HOYO DE 60X25X25 CM  (INCLUYE SUMINISTRO)</v>
      </c>
    </row>
    <row r="1377" spans="3:11" ht="14.4" thickBot="1">
      <c r="C1377" s="159"/>
      <c r="D1377" s="115" t="s">
        <v>19</v>
      </c>
      <c r="E1377" s="115" t="s">
        <v>13</v>
      </c>
      <c r="F1377" s="116" t="s">
        <v>4</v>
      </c>
      <c r="G1377" s="116" t="s">
        <v>5</v>
      </c>
      <c r="H1377" s="116" t="s">
        <v>6</v>
      </c>
      <c r="I1377" s="116" t="s">
        <v>11</v>
      </c>
      <c r="J1377" s="116" t="s">
        <v>7</v>
      </c>
      <c r="K1377" s="115" t="s">
        <v>3</v>
      </c>
    </row>
    <row r="1378" spans="3:11" ht="14.4" thickTop="1">
      <c r="C1378" s="159"/>
      <c r="D1378" s="121"/>
      <c r="E1378" s="134"/>
      <c r="F1378" s="134"/>
      <c r="G1378" s="134"/>
      <c r="H1378" s="134"/>
      <c r="I1378" s="134"/>
      <c r="J1378" s="134"/>
      <c r="K1378" s="122"/>
    </row>
    <row r="1379" spans="3:11">
      <c r="C1379" s="159"/>
      <c r="D1379" s="311" t="s">
        <v>460</v>
      </c>
      <c r="E1379" s="134"/>
      <c r="F1379" s="134"/>
      <c r="G1379" s="134"/>
      <c r="H1379" s="134"/>
      <c r="I1379" s="134"/>
      <c r="J1379" s="134"/>
      <c r="K1379" s="122"/>
    </row>
    <row r="1380" spans="3:11">
      <c r="C1380" s="159"/>
      <c r="D1380" s="311"/>
      <c r="E1380" s="134"/>
      <c r="F1380" s="134"/>
      <c r="G1380" s="134"/>
      <c r="H1380" s="134"/>
      <c r="I1380" s="134"/>
      <c r="J1380" s="134"/>
      <c r="K1380" s="123" t="s">
        <v>3</v>
      </c>
    </row>
    <row r="1381" spans="3:11">
      <c r="C1381" s="159"/>
      <c r="D1381" s="311"/>
      <c r="E1381" s="134"/>
      <c r="F1381" s="134"/>
      <c r="G1381" s="134"/>
      <c r="H1381" s="134"/>
      <c r="I1381" s="147"/>
      <c r="J1381" s="134"/>
      <c r="K1381" s="144"/>
    </row>
    <row r="1382" spans="3:11">
      <c r="C1382" s="159"/>
      <c r="D1382" s="131" t="s">
        <v>606</v>
      </c>
      <c r="E1382" s="134">
        <v>1</v>
      </c>
      <c r="F1382" s="134">
        <v>12</v>
      </c>
      <c r="G1382" s="134"/>
      <c r="H1382" s="134"/>
      <c r="I1382" s="134"/>
      <c r="J1382" s="134">
        <f t="shared" ref="J1382" si="32">+PRODUCT(E1382:I1382)</f>
        <v>12</v>
      </c>
      <c r="K1382" s="122"/>
    </row>
    <row r="1383" spans="3:11">
      <c r="C1383" s="159"/>
      <c r="D1383" s="131"/>
      <c r="E1383" s="134"/>
      <c r="F1383" s="134"/>
      <c r="G1383" s="134"/>
      <c r="H1383" s="134"/>
      <c r="I1383" s="134"/>
      <c r="J1383" s="134"/>
      <c r="K1383" s="122"/>
    </row>
    <row r="1384" spans="3:11" ht="27.6">
      <c r="C1384" s="159"/>
      <c r="D1384" s="110" t="str">
        <f>+CONCATENATE("TOTAL DE ",D1376)</f>
        <v>TOTAL DE SEMBRA DE ARBOL  HUARANGUAY Y TAPADO DE HOYO DE 60X25X25 CM  (INCLUYE SUMINISTRO)</v>
      </c>
      <c r="E1384" s="135"/>
      <c r="F1384" s="135"/>
      <c r="G1384" s="135"/>
      <c r="H1384" s="135"/>
      <c r="I1384" s="135"/>
      <c r="J1384" s="136">
        <f>+SUM(J1378:J1383)</f>
        <v>12</v>
      </c>
      <c r="K1384" s="124" t="str">
        <f>+K1380</f>
        <v>UND</v>
      </c>
    </row>
    <row r="1385" spans="3:11">
      <c r="C1385" s="159"/>
      <c r="D1385" s="245"/>
      <c r="E1385" s="146"/>
      <c r="F1385" s="146"/>
      <c r="G1385" s="146"/>
      <c r="H1385" s="146"/>
      <c r="I1385" s="146"/>
      <c r="J1385" s="146"/>
      <c r="K1385" s="126"/>
    </row>
    <row r="1386" spans="3:11">
      <c r="C1386" s="159"/>
      <c r="D1386" s="221"/>
      <c r="E1386" s="132"/>
      <c r="F1386" s="132"/>
      <c r="G1386" s="132"/>
      <c r="H1386" s="132"/>
      <c r="I1386" s="132"/>
      <c r="J1386" s="132"/>
      <c r="K1386" s="120"/>
    </row>
    <row r="1387" spans="3:11">
      <c r="C1387" s="159">
        <f>C1376+0.0001</f>
        <v>13.020599999999998</v>
      </c>
      <c r="D1387" s="268" t="str">
        <f>RESUMEN!D185</f>
        <v>SEMBRA DE ARBOL MOLLE  Y TAPADO DE HOYO DE 60X25X25 CM  (INCLUYE SUMINISTRO)</v>
      </c>
    </row>
    <row r="1388" spans="3:11" ht="14.4" thickBot="1">
      <c r="C1388" s="159"/>
      <c r="D1388" s="115" t="s">
        <v>19</v>
      </c>
      <c r="E1388" s="115" t="s">
        <v>13</v>
      </c>
      <c r="F1388" s="116" t="s">
        <v>4</v>
      </c>
      <c r="G1388" s="116" t="s">
        <v>5</v>
      </c>
      <c r="H1388" s="116" t="s">
        <v>6</v>
      </c>
      <c r="I1388" s="116" t="s">
        <v>11</v>
      </c>
      <c r="J1388" s="116" t="s">
        <v>7</v>
      </c>
      <c r="K1388" s="115" t="s">
        <v>3</v>
      </c>
    </row>
    <row r="1389" spans="3:11" ht="14.4" thickTop="1">
      <c r="C1389" s="159"/>
      <c r="D1389" s="121"/>
      <c r="E1389" s="134"/>
      <c r="F1389" s="134"/>
      <c r="G1389" s="134"/>
      <c r="H1389" s="134"/>
      <c r="I1389" s="134"/>
      <c r="J1389" s="134"/>
      <c r="K1389" s="122"/>
    </row>
    <row r="1390" spans="3:11">
      <c r="C1390" s="159"/>
      <c r="D1390" s="311" t="s">
        <v>460</v>
      </c>
      <c r="E1390" s="134"/>
      <c r="F1390" s="134"/>
      <c r="G1390" s="134"/>
      <c r="H1390" s="134"/>
      <c r="I1390" s="134"/>
      <c r="J1390" s="134"/>
      <c r="K1390" s="122"/>
    </row>
    <row r="1391" spans="3:11">
      <c r="C1391" s="159"/>
      <c r="D1391" s="311"/>
      <c r="E1391" s="134"/>
      <c r="F1391" s="134"/>
      <c r="G1391" s="134"/>
      <c r="H1391" s="134"/>
      <c r="I1391" s="134"/>
      <c r="J1391" s="134"/>
      <c r="K1391" s="123" t="s">
        <v>3</v>
      </c>
    </row>
    <row r="1392" spans="3:11">
      <c r="C1392" s="159"/>
      <c r="D1392" s="311"/>
      <c r="E1392" s="134"/>
      <c r="F1392" s="134"/>
      <c r="G1392" s="134"/>
      <c r="H1392" s="134"/>
      <c r="I1392" s="147"/>
      <c r="J1392" s="134"/>
      <c r="K1392" s="144"/>
    </row>
    <row r="1393" spans="3:11">
      <c r="C1393" s="159"/>
      <c r="D1393" s="131" t="s">
        <v>606</v>
      </c>
      <c r="E1393" s="134">
        <v>1</v>
      </c>
      <c r="F1393" s="134">
        <v>12</v>
      </c>
      <c r="G1393" s="134"/>
      <c r="H1393" s="134"/>
      <c r="I1393" s="134"/>
      <c r="J1393" s="134">
        <f t="shared" ref="J1393" si="33">+PRODUCT(E1393:I1393)</f>
        <v>12</v>
      </c>
      <c r="K1393" s="122"/>
    </row>
    <row r="1394" spans="3:11">
      <c r="C1394" s="159"/>
      <c r="D1394" s="131"/>
      <c r="E1394" s="134"/>
      <c r="F1394" s="134"/>
      <c r="G1394" s="134"/>
      <c r="H1394" s="134"/>
      <c r="I1394" s="134"/>
      <c r="J1394" s="134"/>
      <c r="K1394" s="122"/>
    </row>
    <row r="1395" spans="3:11" ht="27.6">
      <c r="C1395" s="159"/>
      <c r="D1395" s="110" t="str">
        <f>+CONCATENATE("TOTAL DE ",D1387)</f>
        <v>TOTAL DE SEMBRA DE ARBOL MOLLE  Y TAPADO DE HOYO DE 60X25X25 CM  (INCLUYE SUMINISTRO)</v>
      </c>
      <c r="E1395" s="135"/>
      <c r="F1395" s="135"/>
      <c r="G1395" s="135"/>
      <c r="H1395" s="135"/>
      <c r="I1395" s="135"/>
      <c r="J1395" s="136">
        <f>+SUM(J1389:J1394)</f>
        <v>12</v>
      </c>
      <c r="K1395" s="124" t="str">
        <f>+K1391</f>
        <v>UND</v>
      </c>
    </row>
    <row r="1396" spans="3:11">
      <c r="C1396" s="159"/>
      <c r="D1396" s="245"/>
      <c r="E1396" s="146"/>
      <c r="F1396" s="146"/>
      <c r="G1396" s="146"/>
      <c r="H1396" s="146"/>
      <c r="I1396" s="146"/>
      <c r="J1396" s="146"/>
      <c r="K1396" s="126"/>
    </row>
    <row r="1397" spans="3:11">
      <c r="C1397" s="159"/>
      <c r="D1397" s="213"/>
    </row>
    <row r="1398" spans="3:11">
      <c r="C1398" s="157">
        <f>C1284+1</f>
        <v>14</v>
      </c>
      <c r="D1398" s="139" t="s">
        <v>463</v>
      </c>
    </row>
    <row r="1399" spans="3:11">
      <c r="C1399" s="158">
        <f>+C1398+0.01</f>
        <v>14.01</v>
      </c>
      <c r="D1399" s="257" t="str">
        <f>RESUMEN!D187</f>
        <v>RIEGO PARA REDUCIR EL POLVO</v>
      </c>
    </row>
    <row r="1400" spans="3:11" ht="14.4" thickBot="1">
      <c r="C1400" s="159"/>
      <c r="D1400" s="115" t="s">
        <v>19</v>
      </c>
      <c r="E1400" s="115" t="s">
        <v>13</v>
      </c>
      <c r="F1400" s="116" t="s">
        <v>4</v>
      </c>
      <c r="G1400" s="116" t="s">
        <v>5</v>
      </c>
      <c r="H1400" s="116" t="s">
        <v>6</v>
      </c>
      <c r="I1400" s="116" t="s">
        <v>11</v>
      </c>
      <c r="J1400" s="116" t="s">
        <v>7</v>
      </c>
      <c r="K1400" s="115" t="s">
        <v>3</v>
      </c>
    </row>
    <row r="1401" spans="3:11" ht="14.4" thickTop="1">
      <c r="C1401" s="159"/>
      <c r="D1401" s="121"/>
      <c r="E1401" s="134"/>
      <c r="F1401" s="134"/>
      <c r="G1401" s="134"/>
      <c r="H1401" s="134"/>
      <c r="I1401" s="134"/>
      <c r="J1401" s="134"/>
      <c r="K1401" s="122"/>
    </row>
    <row r="1402" spans="3:11">
      <c r="C1402" s="159"/>
      <c r="D1402" s="311" t="s">
        <v>464</v>
      </c>
      <c r="E1402" s="134"/>
      <c r="F1402" s="134"/>
      <c r="G1402" s="134"/>
      <c r="H1402" s="134"/>
      <c r="I1402" s="134"/>
      <c r="J1402" s="134"/>
      <c r="K1402" s="122"/>
    </row>
    <row r="1403" spans="3:11">
      <c r="C1403" s="159"/>
      <c r="D1403" s="311"/>
      <c r="E1403" s="134">
        <v>1</v>
      </c>
      <c r="F1403" s="134">
        <v>1</v>
      </c>
      <c r="G1403" s="134" t="s">
        <v>56</v>
      </c>
      <c r="H1403" s="134">
        <v>1294.3504</v>
      </c>
      <c r="I1403" s="134"/>
      <c r="J1403" s="134">
        <f>+PRODUCT(E1403:I1403)</f>
        <v>1294.3504</v>
      </c>
      <c r="K1403" s="123" t="s">
        <v>10</v>
      </c>
    </row>
    <row r="1404" spans="3:11">
      <c r="C1404" s="159"/>
      <c r="D1404" s="311"/>
      <c r="E1404" s="134"/>
      <c r="F1404" s="134"/>
      <c r="G1404" s="134"/>
      <c r="H1404" s="134"/>
      <c r="I1404" s="147"/>
      <c r="J1404" s="134"/>
      <c r="K1404" s="144"/>
    </row>
    <row r="1405" spans="3:11">
      <c r="C1405" s="159"/>
      <c r="D1405" s="131"/>
      <c r="E1405" s="134"/>
      <c r="F1405" s="134"/>
      <c r="G1405" s="134"/>
      <c r="H1405" s="134"/>
      <c r="I1405" s="134"/>
      <c r="J1405" s="134"/>
      <c r="K1405" s="122"/>
    </row>
    <row r="1406" spans="3:11">
      <c r="C1406" s="159"/>
      <c r="D1406" s="110" t="str">
        <f>+CONCATENATE("TOTAL DE ",D1399)</f>
        <v>TOTAL DE RIEGO PARA REDUCIR EL POLVO</v>
      </c>
      <c r="E1406" s="135"/>
      <c r="F1406" s="135"/>
      <c r="G1406" s="135"/>
      <c r="H1406" s="135"/>
      <c r="I1406" s="135"/>
      <c r="J1406" s="136">
        <f>+SUM(J1401:J1405)</f>
        <v>1294.3504</v>
      </c>
      <c r="K1406" s="124" t="str">
        <f>+K1403</f>
        <v>M2</v>
      </c>
    </row>
    <row r="1407" spans="3:11">
      <c r="C1407" s="159"/>
      <c r="D1407" s="245"/>
      <c r="E1407" s="146"/>
      <c r="F1407" s="146"/>
      <c r="G1407" s="146"/>
      <c r="H1407" s="146"/>
      <c r="I1407" s="146"/>
      <c r="J1407" s="146"/>
      <c r="K1407" s="126"/>
    </row>
    <row r="1408" spans="3:11">
      <c r="C1408" s="158"/>
      <c r="D1408" s="182"/>
    </row>
    <row r="1409" spans="3:11">
      <c r="C1409" s="158">
        <f>+C1399+0.01</f>
        <v>14.02</v>
      </c>
      <c r="D1409" s="257" t="str">
        <f>RESUMEN!D188</f>
        <v>LIMPIEZA GENERAL DE LA OBRA</v>
      </c>
    </row>
    <row r="1410" spans="3:11" ht="14.4" thickBot="1">
      <c r="C1410" s="159"/>
      <c r="D1410" s="115" t="s">
        <v>19</v>
      </c>
      <c r="E1410" s="115" t="s">
        <v>13</v>
      </c>
      <c r="F1410" s="116" t="s">
        <v>4</v>
      </c>
      <c r="G1410" s="116" t="s">
        <v>5</v>
      </c>
      <c r="H1410" s="116" t="s">
        <v>6</v>
      </c>
      <c r="I1410" s="116" t="s">
        <v>11</v>
      </c>
      <c r="J1410" s="116" t="s">
        <v>7</v>
      </c>
      <c r="K1410" s="115" t="s">
        <v>3</v>
      </c>
    </row>
    <row r="1411" spans="3:11" ht="14.4" thickTop="1">
      <c r="C1411" s="159"/>
      <c r="D1411" s="121"/>
      <c r="E1411" s="134"/>
      <c r="F1411" s="134"/>
      <c r="G1411" s="134"/>
      <c r="H1411" s="134"/>
      <c r="I1411" s="134"/>
      <c r="J1411" s="134"/>
      <c r="K1411" s="122"/>
    </row>
    <row r="1412" spans="3:11">
      <c r="C1412" s="159"/>
      <c r="D1412" s="311" t="s">
        <v>464</v>
      </c>
      <c r="E1412" s="134"/>
      <c r="F1412" s="134"/>
      <c r="G1412" s="134"/>
      <c r="H1412" s="134"/>
      <c r="I1412" s="134"/>
      <c r="J1412" s="134"/>
      <c r="K1412" s="122"/>
    </row>
    <row r="1413" spans="3:11">
      <c r="C1413" s="159"/>
      <c r="D1413" s="311"/>
      <c r="E1413" s="134">
        <v>1</v>
      </c>
      <c r="F1413" s="134">
        <v>1</v>
      </c>
      <c r="G1413" s="134" t="s">
        <v>56</v>
      </c>
      <c r="H1413" s="134">
        <v>1294.3504</v>
      </c>
      <c r="I1413" s="134"/>
      <c r="J1413" s="134">
        <f>+PRODUCT(E1413:I1413)</f>
        <v>1294.3504</v>
      </c>
      <c r="K1413" s="123" t="s">
        <v>10</v>
      </c>
    </row>
    <row r="1414" spans="3:11">
      <c r="C1414" s="159"/>
      <c r="D1414" s="311"/>
      <c r="E1414" s="134"/>
      <c r="F1414" s="134"/>
      <c r="G1414" s="134"/>
      <c r="H1414" s="134"/>
      <c r="I1414" s="147"/>
      <c r="J1414" s="134"/>
      <c r="K1414" s="144"/>
    </row>
    <row r="1415" spans="3:11">
      <c r="C1415" s="159"/>
      <c r="D1415" s="131"/>
      <c r="E1415" s="134"/>
      <c r="F1415" s="134"/>
      <c r="G1415" s="134"/>
      <c r="H1415" s="134"/>
      <c r="I1415" s="134"/>
      <c r="J1415" s="134"/>
      <c r="K1415" s="122"/>
    </row>
    <row r="1416" spans="3:11">
      <c r="C1416" s="159"/>
      <c r="D1416" s="110" t="str">
        <f>+CONCATENATE("TOTAL DE ",D1409)</f>
        <v>TOTAL DE LIMPIEZA GENERAL DE LA OBRA</v>
      </c>
      <c r="E1416" s="135"/>
      <c r="F1416" s="135"/>
      <c r="G1416" s="135"/>
      <c r="H1416" s="135"/>
      <c r="I1416" s="135"/>
      <c r="J1416" s="136">
        <f>+SUM(J1411:J1415)</f>
        <v>1294.3504</v>
      </c>
      <c r="K1416" s="124" t="str">
        <f>+K1413</f>
        <v>M2</v>
      </c>
    </row>
    <row r="1417" spans="3:11">
      <c r="C1417" s="159"/>
      <c r="D1417" s="245"/>
      <c r="E1417" s="146"/>
      <c r="F1417" s="146"/>
      <c r="G1417" s="146"/>
      <c r="H1417" s="146"/>
      <c r="I1417" s="146"/>
      <c r="J1417" s="146"/>
      <c r="K1417" s="126"/>
    </row>
  </sheetData>
  <mergeCells count="103">
    <mergeCell ref="D531:D532"/>
    <mergeCell ref="N920:N922"/>
    <mergeCell ref="D962:D964"/>
    <mergeCell ref="D828:D830"/>
    <mergeCell ref="D838:D839"/>
    <mergeCell ref="D850:D852"/>
    <mergeCell ref="D868:D870"/>
    <mergeCell ref="D918:D919"/>
    <mergeCell ref="D930:D931"/>
    <mergeCell ref="D940:D942"/>
    <mergeCell ref="D888:D889"/>
    <mergeCell ref="D807:D808"/>
    <mergeCell ref="D818:D819"/>
    <mergeCell ref="C3:K3"/>
    <mergeCell ref="D8:K8"/>
    <mergeCell ref="D5:I5"/>
    <mergeCell ref="D6:I6"/>
    <mergeCell ref="D7:I7"/>
    <mergeCell ref="J5:K7"/>
    <mergeCell ref="D32:D34"/>
    <mergeCell ref="D14:D16"/>
    <mergeCell ref="D23:D25"/>
    <mergeCell ref="D471:D472"/>
    <mergeCell ref="D1253:D1254"/>
    <mergeCell ref="D706:D707"/>
    <mergeCell ref="D288:D289"/>
    <mergeCell ref="D255:D256"/>
    <mergeCell ref="D71:D73"/>
    <mergeCell ref="D112:D113"/>
    <mergeCell ref="D42:D44"/>
    <mergeCell ref="D150:D151"/>
    <mergeCell ref="D62:D64"/>
    <mergeCell ref="D65:D66"/>
    <mergeCell ref="D178:D180"/>
    <mergeCell ref="D199:D201"/>
    <mergeCell ref="D80:D82"/>
    <mergeCell ref="D90:D92"/>
    <mergeCell ref="D100:D102"/>
    <mergeCell ref="D229:D231"/>
    <mergeCell ref="D267:D268"/>
    <mergeCell ref="D212:D213"/>
    <mergeCell ref="D52:D54"/>
    <mergeCell ref="D167:D169"/>
    <mergeCell ref="D756:D758"/>
    <mergeCell ref="D575:D576"/>
    <mergeCell ref="D317:D319"/>
    <mergeCell ref="D304:D305"/>
    <mergeCell ref="D328:D330"/>
    <mergeCell ref="D345:D347"/>
    <mergeCell ref="D421:D422"/>
    <mergeCell ref="D432:D434"/>
    <mergeCell ref="D442:D444"/>
    <mergeCell ref="D359:D361"/>
    <mergeCell ref="D389:D390"/>
    <mergeCell ref="D376:D378"/>
    <mergeCell ref="D496:D497"/>
    <mergeCell ref="D728:D730"/>
    <mergeCell ref="D742:D743"/>
    <mergeCell ref="D769:D770"/>
    <mergeCell ref="D1047:D1049"/>
    <mergeCell ref="D1059:D1061"/>
    <mergeCell ref="D1368:D1370"/>
    <mergeCell ref="D793:D794"/>
    <mergeCell ref="D1277:D1278"/>
    <mergeCell ref="D1136:D1137"/>
    <mergeCell ref="D1149:D1151"/>
    <mergeCell ref="D781:D782"/>
    <mergeCell ref="D902:D903"/>
    <mergeCell ref="D1160:D1162"/>
    <mergeCell ref="D1203:D1204"/>
    <mergeCell ref="D1216:D1218"/>
    <mergeCell ref="D1190:D1191"/>
    <mergeCell ref="D1241:D1242"/>
    <mergeCell ref="D1266:D1267"/>
    <mergeCell ref="D1301:D1303"/>
    <mergeCell ref="D1311:D1313"/>
    <mergeCell ref="D611:D613"/>
    <mergeCell ref="D669:D670"/>
    <mergeCell ref="D589:D591"/>
    <mergeCell ref="D1412:D1414"/>
    <mergeCell ref="D950:D952"/>
    <mergeCell ref="D1379:D1381"/>
    <mergeCell ref="D1390:D1392"/>
    <mergeCell ref="D506:D507"/>
    <mergeCell ref="D1321:D1323"/>
    <mergeCell ref="D1333:D1335"/>
    <mergeCell ref="D1345:D1347"/>
    <mergeCell ref="D1356:D1358"/>
    <mergeCell ref="D1068:D1070"/>
    <mergeCell ref="D1077:D1079"/>
    <mergeCell ref="D1086:D1088"/>
    <mergeCell ref="D1094:D1096"/>
    <mergeCell ref="D1103:D1105"/>
    <mergeCell ref="D1112:D1114"/>
    <mergeCell ref="D1123:D1124"/>
    <mergeCell ref="D551:D552"/>
    <mergeCell ref="D565:D567"/>
    <mergeCell ref="D1402:D1404"/>
    <mergeCell ref="D696:D698"/>
    <mergeCell ref="D637:D638"/>
    <mergeCell ref="D652:D653"/>
    <mergeCell ref="D1289:D1290"/>
    <mergeCell ref="D518:D519"/>
  </mergeCells>
  <phoneticPr fontId="15" type="noConversion"/>
  <printOptions horizontalCentered="1"/>
  <pageMargins left="0.39370078740157483" right="0.43307086614173229" top="0.74803149606299213" bottom="0.55118110236220474" header="0.31496062992125984" footer="0.31496062992125984"/>
  <pageSetup paperSize="9" scale="60" fitToHeight="0" orientation="portrait" r:id="rId1"/>
  <rowBreaks count="1" manualBreakCount="1">
    <brk id="169" min="1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96"/>
  <sheetViews>
    <sheetView showGridLines="0" tabSelected="1" view="pageBreakPreview" zoomScale="120" zoomScaleNormal="100" zoomScaleSheetLayoutView="120" workbookViewId="0">
      <pane ySplit="7" topLeftCell="A167" activePane="bottomLeft" state="frozen"/>
      <selection pane="bottomLeft" activeCell="D4" sqref="D4:D5"/>
    </sheetView>
  </sheetViews>
  <sheetFormatPr baseColWidth="10" defaultColWidth="11.44140625" defaultRowHeight="13.2" outlineLevelRow="2"/>
  <cols>
    <col min="1" max="1" width="11.44140625" style="64"/>
    <col min="2" max="2" width="3.109375" style="64" customWidth="1"/>
    <col min="3" max="3" width="10.44140625" style="64" customWidth="1"/>
    <col min="4" max="4" width="85.88671875" style="66" customWidth="1"/>
    <col min="5" max="5" width="7.88671875" style="64" customWidth="1"/>
    <col min="6" max="6" width="10.77734375" style="64" customWidth="1"/>
    <col min="7" max="7" width="3.109375" style="64" customWidth="1"/>
    <col min="8" max="8" width="11.44140625" style="64"/>
    <col min="9" max="10" width="0" style="64" hidden="1" customWidth="1"/>
    <col min="11" max="16384" width="11.44140625" style="64"/>
  </cols>
  <sheetData>
    <row r="1" spans="2:9" ht="13.8" thickBot="1"/>
    <row r="2" spans="2:9" ht="16.2" thickBot="1">
      <c r="C2" s="329" t="s">
        <v>60</v>
      </c>
      <c r="D2" s="330"/>
      <c r="E2" s="330"/>
      <c r="F2" s="331"/>
    </row>
    <row r="3" spans="2:9" ht="6" customHeight="1" thickBot="1">
      <c r="C3" s="106"/>
      <c r="D3" s="107"/>
      <c r="E3" s="108"/>
      <c r="F3" s="108"/>
    </row>
    <row r="4" spans="2:9" ht="15" customHeight="1">
      <c r="C4" s="332" t="s">
        <v>61</v>
      </c>
      <c r="D4" s="338" t="s">
        <v>332</v>
      </c>
      <c r="E4" s="338"/>
      <c r="F4" s="168"/>
    </row>
    <row r="5" spans="2:9" ht="15" customHeight="1">
      <c r="C5" s="333"/>
      <c r="D5" s="339"/>
      <c r="E5" s="339"/>
      <c r="F5" s="170"/>
    </row>
    <row r="6" spans="2:9">
      <c r="C6" s="169" t="s">
        <v>62</v>
      </c>
      <c r="D6" s="334" t="s">
        <v>37</v>
      </c>
      <c r="E6" s="334"/>
      <c r="F6" s="335"/>
      <c r="I6" s="64">
        <v>6143.84</v>
      </c>
    </row>
    <row r="7" spans="2:9" ht="13.8" thickBot="1">
      <c r="C7" s="171" t="s">
        <v>63</v>
      </c>
      <c r="D7" s="336" t="s">
        <v>511</v>
      </c>
      <c r="E7" s="336"/>
      <c r="F7" s="337"/>
      <c r="I7" s="64">
        <v>6283.01</v>
      </c>
    </row>
    <row r="8" spans="2:9" ht="4.5" customHeight="1" thickBot="1">
      <c r="C8" s="106"/>
      <c r="D8" s="109"/>
      <c r="E8" s="108"/>
      <c r="F8" s="108"/>
    </row>
    <row r="9" spans="2:9" ht="13.2" customHeight="1" thickBot="1">
      <c r="C9" s="177" t="s">
        <v>70</v>
      </c>
      <c r="D9" s="178" t="s">
        <v>71</v>
      </c>
      <c r="E9" s="178" t="s">
        <v>72</v>
      </c>
      <c r="F9" s="179" t="s">
        <v>73</v>
      </c>
    </row>
    <row r="10" spans="2:9" s="104" customFormat="1" ht="13.2" customHeight="1">
      <c r="B10" s="64"/>
      <c r="C10" s="175" t="s">
        <v>74</v>
      </c>
      <c r="D10" s="281" t="s">
        <v>75</v>
      </c>
      <c r="E10" s="176"/>
      <c r="F10" s="185"/>
      <c r="G10" s="161"/>
    </row>
    <row r="11" spans="2:9" ht="13.2" customHeight="1" outlineLevel="1">
      <c r="C11" s="212">
        <f>C10+0.01</f>
        <v>1.01</v>
      </c>
      <c r="D11" s="210" t="s">
        <v>18</v>
      </c>
      <c r="E11" s="71"/>
      <c r="F11" s="181"/>
      <c r="G11" s="63"/>
    </row>
    <row r="12" spans="2:9" ht="13.2" customHeight="1" outlineLevel="2">
      <c r="C12" s="211">
        <f>+C11+0.0001</f>
        <v>1.0101</v>
      </c>
      <c r="D12" s="282" t="s">
        <v>303</v>
      </c>
      <c r="E12" s="70" t="s">
        <v>64</v>
      </c>
      <c r="F12" s="180">
        <f>'metrado final'!J17</f>
        <v>1</v>
      </c>
      <c r="G12" s="161"/>
    </row>
    <row r="13" spans="2:9" ht="13.2" customHeight="1" outlineLevel="2">
      <c r="C13" s="211">
        <f>+C12+0.0001</f>
        <v>1.0102</v>
      </c>
      <c r="D13" s="282" t="s">
        <v>38</v>
      </c>
      <c r="E13" s="70" t="s">
        <v>65</v>
      </c>
      <c r="F13" s="180">
        <f>'metrado final'!J26</f>
        <v>3</v>
      </c>
    </row>
    <row r="14" spans="2:9" ht="13.2" customHeight="1" outlineLevel="2">
      <c r="C14" s="211">
        <f>+C13+0.0001</f>
        <v>1.0103</v>
      </c>
      <c r="D14" s="283" t="s">
        <v>520</v>
      </c>
      <c r="E14" s="70" t="s">
        <v>69</v>
      </c>
      <c r="F14" s="180">
        <f>'metrado final'!J35</f>
        <v>144</v>
      </c>
    </row>
    <row r="15" spans="2:9" ht="13.2" customHeight="1" outlineLevel="2">
      <c r="C15" s="212">
        <f>C11+0.01</f>
        <v>1.02</v>
      </c>
      <c r="D15" s="210" t="s">
        <v>422</v>
      </c>
      <c r="E15" s="70"/>
      <c r="F15" s="180"/>
    </row>
    <row r="16" spans="2:9" ht="13.2" customHeight="1" outlineLevel="2">
      <c r="C16" s="211">
        <f>+C15+0.0001</f>
        <v>1.0201</v>
      </c>
      <c r="D16" s="284" t="s">
        <v>521</v>
      </c>
      <c r="E16" s="70" t="s">
        <v>66</v>
      </c>
      <c r="F16" s="180">
        <f>'metrado final'!J45</f>
        <v>1</v>
      </c>
    </row>
    <row r="17" spans="2:9" ht="13.2" customHeight="1" outlineLevel="1">
      <c r="C17" s="212">
        <f>C15+0.01</f>
        <v>1.03</v>
      </c>
      <c r="D17" s="210" t="s">
        <v>297</v>
      </c>
      <c r="E17" s="71"/>
      <c r="F17" s="180"/>
    </row>
    <row r="18" spans="2:9" ht="13.2" customHeight="1" outlineLevel="2">
      <c r="C18" s="211">
        <f>+C17+0.0001</f>
        <v>1.0301</v>
      </c>
      <c r="D18" s="284" t="s">
        <v>304</v>
      </c>
      <c r="E18" s="70" t="s">
        <v>66</v>
      </c>
      <c r="F18" s="180">
        <f>'metrado final'!J55</f>
        <v>1</v>
      </c>
    </row>
    <row r="19" spans="2:9" ht="13.2" customHeight="1" outlineLevel="1">
      <c r="C19" s="212">
        <f>C17+0.01</f>
        <v>1.04</v>
      </c>
      <c r="D19" s="210" t="s">
        <v>35</v>
      </c>
      <c r="E19" s="71"/>
      <c r="F19" s="181"/>
      <c r="I19" s="64">
        <v>2815.56</v>
      </c>
    </row>
    <row r="20" spans="2:9" ht="13.2" customHeight="1" outlineLevel="2">
      <c r="C20" s="211">
        <f>+C19+0.0001</f>
        <v>1.0401</v>
      </c>
      <c r="D20" s="284" t="s">
        <v>302</v>
      </c>
      <c r="E20" s="70" t="s">
        <v>66</v>
      </c>
      <c r="F20" s="180">
        <f>'metrado final'!J65</f>
        <v>1</v>
      </c>
      <c r="I20" s="64">
        <v>2759.06</v>
      </c>
    </row>
    <row r="21" spans="2:9" ht="13.2" customHeight="1" outlineLevel="2">
      <c r="C21" s="211">
        <f>+C20+0.0001</f>
        <v>1.0402</v>
      </c>
      <c r="D21" s="282" t="s">
        <v>305</v>
      </c>
      <c r="E21" s="70" t="s">
        <v>66</v>
      </c>
      <c r="F21" s="180">
        <f>'metrado final'!J74</f>
        <v>1</v>
      </c>
      <c r="I21" s="105">
        <f>+I19-I20</f>
        <v>56.5</v>
      </c>
    </row>
    <row r="22" spans="2:9" ht="13.2" customHeight="1" outlineLevel="2">
      <c r="C22" s="211">
        <f>+C21+0.0001</f>
        <v>1.0403</v>
      </c>
      <c r="D22" s="282" t="s">
        <v>617</v>
      </c>
      <c r="E22" s="70" t="s">
        <v>64</v>
      </c>
      <c r="F22" s="180">
        <f>'metrado final'!J84</f>
        <v>15</v>
      </c>
      <c r="I22" s="105"/>
    </row>
    <row r="23" spans="2:9" ht="13.2" customHeight="1" outlineLevel="2">
      <c r="C23" s="211">
        <f>+C22+0.0001</f>
        <v>1.0404</v>
      </c>
      <c r="D23" s="282" t="s">
        <v>522</v>
      </c>
      <c r="E23" s="70" t="s">
        <v>66</v>
      </c>
      <c r="F23" s="180">
        <f>'metrado final'!J94</f>
        <v>1</v>
      </c>
      <c r="I23" s="105"/>
    </row>
    <row r="24" spans="2:9" ht="13.2" customHeight="1" outlineLevel="2">
      <c r="C24" s="211">
        <f>+C23+0.0001</f>
        <v>1.0405</v>
      </c>
      <c r="D24" s="282" t="s">
        <v>523</v>
      </c>
      <c r="E24" s="70" t="s">
        <v>66</v>
      </c>
      <c r="F24" s="180">
        <f>'metrado final'!J104</f>
        <v>1</v>
      </c>
      <c r="I24" s="105"/>
    </row>
    <row r="25" spans="2:9" ht="13.2" customHeight="1" outlineLevel="2">
      <c r="C25" s="174" t="s">
        <v>76</v>
      </c>
      <c r="D25" s="285" t="s">
        <v>416</v>
      </c>
      <c r="E25" s="71"/>
      <c r="F25" s="181"/>
      <c r="I25" s="105"/>
    </row>
    <row r="26" spans="2:9" ht="13.2" customHeight="1" outlineLevel="2">
      <c r="C26" s="172">
        <f>C25+0.01</f>
        <v>2.0099999999999998</v>
      </c>
      <c r="D26" s="210" t="s">
        <v>297</v>
      </c>
      <c r="E26" s="71"/>
      <c r="F26" s="180"/>
    </row>
    <row r="27" spans="2:9" ht="13.2" customHeight="1" outlineLevel="2">
      <c r="C27" s="173">
        <f t="shared" ref="C27:C29" si="0">+C26+0.0001</f>
        <v>2.0101</v>
      </c>
      <c r="D27" s="282" t="s">
        <v>298</v>
      </c>
      <c r="E27" s="70" t="s">
        <v>67</v>
      </c>
      <c r="F27" s="180">
        <f>'metrado final'!J125</f>
        <v>199.6661</v>
      </c>
    </row>
    <row r="28" spans="2:9" ht="13.2" customHeight="1" outlineLevel="2">
      <c r="C28" s="173">
        <f>+C27+0.0001</f>
        <v>2.0102000000000002</v>
      </c>
      <c r="D28" s="282" t="s">
        <v>329</v>
      </c>
      <c r="E28" s="70" t="s">
        <v>67</v>
      </c>
      <c r="F28" s="180">
        <f>'metrado final'!J134</f>
        <v>26.9602</v>
      </c>
      <c r="I28" s="64">
        <f>+I7-I6</f>
        <v>139.17000000000007</v>
      </c>
    </row>
    <row r="29" spans="2:9" ht="13.2" customHeight="1" outlineLevel="2">
      <c r="C29" s="173">
        <f t="shared" si="0"/>
        <v>2.0103000000000004</v>
      </c>
      <c r="D29" s="282" t="s">
        <v>330</v>
      </c>
      <c r="E29" s="70" t="s">
        <v>68</v>
      </c>
      <c r="F29" s="180">
        <f>'metrado final'!J144</f>
        <v>3.3700250000000005</v>
      </c>
    </row>
    <row r="30" spans="2:9" s="104" customFormat="1" ht="13.2" customHeight="1">
      <c r="B30" s="64"/>
      <c r="C30" s="172">
        <f>C26+0.01</f>
        <v>2.0199999999999996</v>
      </c>
      <c r="D30" s="210" t="s">
        <v>8</v>
      </c>
      <c r="E30" s="71"/>
      <c r="F30" s="180"/>
      <c r="G30" s="64"/>
    </row>
    <row r="31" spans="2:9" ht="13.2" customHeight="1" outlineLevel="1">
      <c r="C31" s="173">
        <f t="shared" ref="C31:C33" si="1">+C30+0.0001</f>
        <v>2.0200999999999998</v>
      </c>
      <c r="D31" s="282" t="s">
        <v>419</v>
      </c>
      <c r="E31" s="70" t="s">
        <v>68</v>
      </c>
      <c r="F31" s="180">
        <f>'metrado final'!J162</f>
        <v>19.966610000000003</v>
      </c>
    </row>
    <row r="32" spans="2:9" ht="13.2" customHeight="1" outlineLevel="2">
      <c r="C32" s="173">
        <f t="shared" si="1"/>
        <v>2.0202</v>
      </c>
      <c r="D32" s="282" t="s">
        <v>524</v>
      </c>
      <c r="E32" s="70" t="s">
        <v>68</v>
      </c>
      <c r="F32" s="180">
        <f>'metrado final'!J172</f>
        <v>24.958262500000004</v>
      </c>
    </row>
    <row r="33" spans="3:8" ht="13.2" customHeight="1" outlineLevel="2">
      <c r="C33" s="173">
        <f t="shared" si="1"/>
        <v>2.0203000000000002</v>
      </c>
      <c r="D33" s="282" t="s">
        <v>331</v>
      </c>
      <c r="E33" s="70" t="s">
        <v>67</v>
      </c>
      <c r="F33" s="180">
        <f>'metrado final'!J192</f>
        <v>199.6661</v>
      </c>
    </row>
    <row r="34" spans="3:8" ht="13.2" customHeight="1" outlineLevel="2">
      <c r="C34" s="172">
        <f>C30+0.01</f>
        <v>2.0299999999999994</v>
      </c>
      <c r="D34" s="210" t="s">
        <v>638</v>
      </c>
      <c r="E34" s="71"/>
      <c r="F34" s="181"/>
    </row>
    <row r="35" spans="3:8" ht="13.2" customHeight="1" outlineLevel="1">
      <c r="C35" s="173">
        <f t="shared" ref="C35" si="2">+C34+0.0001</f>
        <v>2.0300999999999996</v>
      </c>
      <c r="D35" s="282" t="s">
        <v>418</v>
      </c>
      <c r="E35" s="70" t="s">
        <v>67</v>
      </c>
      <c r="F35" s="180">
        <f>'metrado final'!J206</f>
        <v>199.6661</v>
      </c>
    </row>
    <row r="36" spans="3:8" ht="13.2" customHeight="1" outlineLevel="2">
      <c r="C36" s="172">
        <f>C34+0.01</f>
        <v>2.0399999999999991</v>
      </c>
      <c r="D36" s="210" t="s">
        <v>362</v>
      </c>
      <c r="E36" s="71"/>
      <c r="F36" s="181"/>
      <c r="H36" s="104"/>
    </row>
    <row r="37" spans="3:8" ht="13.2" customHeight="1" outlineLevel="2">
      <c r="C37" s="173">
        <f t="shared" ref="C37:C38" si="3">+C36+0.0001</f>
        <v>2.0400999999999994</v>
      </c>
      <c r="D37" s="282" t="s">
        <v>417</v>
      </c>
      <c r="E37" s="70" t="s">
        <v>67</v>
      </c>
      <c r="F37" s="180">
        <f>'metrado final'!J224</f>
        <v>35.467620000000004</v>
      </c>
    </row>
    <row r="38" spans="3:8" ht="13.2" customHeight="1" outlineLevel="2">
      <c r="C38" s="173">
        <f t="shared" si="3"/>
        <v>2.0401999999999996</v>
      </c>
      <c r="D38" s="284" t="s">
        <v>639</v>
      </c>
      <c r="E38" s="70" t="s">
        <v>67</v>
      </c>
      <c r="F38" s="180">
        <f>'metrado final'!J250</f>
        <v>199.6661</v>
      </c>
    </row>
    <row r="39" spans="3:8" ht="13.2" customHeight="1" outlineLevel="2">
      <c r="C39" s="173">
        <f>+C38+0.0001</f>
        <v>2.0402999999999998</v>
      </c>
      <c r="D39" s="282" t="s">
        <v>328</v>
      </c>
      <c r="E39" s="70" t="s">
        <v>67</v>
      </c>
      <c r="F39" s="180">
        <f>'metrado final'!J261</f>
        <v>199.6661</v>
      </c>
    </row>
    <row r="40" spans="3:8" ht="13.2" customHeight="1" outlineLevel="2">
      <c r="C40" s="172">
        <f>C36+0.01</f>
        <v>2.0499999999999989</v>
      </c>
      <c r="D40" s="210" t="s">
        <v>640</v>
      </c>
      <c r="E40" s="70"/>
      <c r="F40" s="180"/>
    </row>
    <row r="41" spans="3:8" ht="13.2" customHeight="1" outlineLevel="2">
      <c r="C41" s="173">
        <f>+C40+0.0001</f>
        <v>2.0500999999999991</v>
      </c>
      <c r="D41" s="282" t="s">
        <v>307</v>
      </c>
      <c r="E41" s="70" t="s">
        <v>54</v>
      </c>
      <c r="F41" s="180">
        <f>'metrado final'!J280</f>
        <v>40.232799999999997</v>
      </c>
    </row>
    <row r="42" spans="3:8" ht="13.2" customHeight="1" outlineLevel="1">
      <c r="C42" s="174" t="s">
        <v>77</v>
      </c>
      <c r="D42" s="285" t="s">
        <v>364</v>
      </c>
      <c r="E42" s="70"/>
      <c r="F42" s="180"/>
    </row>
    <row r="43" spans="3:8" ht="13.2" customHeight="1" outlineLevel="1">
      <c r="C43" s="172">
        <f>C42+0.01</f>
        <v>3.01</v>
      </c>
      <c r="D43" s="210" t="s">
        <v>641</v>
      </c>
      <c r="E43" s="70"/>
      <c r="F43" s="180"/>
    </row>
    <row r="44" spans="3:8" ht="13.2" customHeight="1" outlineLevel="1">
      <c r="C44" s="173">
        <f>+C43+0.0001</f>
        <v>3.0101</v>
      </c>
      <c r="D44" s="282" t="s">
        <v>298</v>
      </c>
      <c r="E44" s="70" t="s">
        <v>67</v>
      </c>
      <c r="F44" s="180">
        <f>'metrado final'!J297</f>
        <v>7.7252200000000002</v>
      </c>
    </row>
    <row r="45" spans="3:8" ht="13.2" customHeight="1" outlineLevel="1">
      <c r="C45" s="172">
        <f>C43+0.01</f>
        <v>3.0199999999999996</v>
      </c>
      <c r="D45" s="210" t="s">
        <v>8</v>
      </c>
      <c r="E45" s="70"/>
      <c r="F45" s="180"/>
    </row>
    <row r="46" spans="3:8" ht="13.2" customHeight="1" outlineLevel="2">
      <c r="C46" s="173">
        <f>+C45+0.0001</f>
        <v>3.0200999999999998</v>
      </c>
      <c r="D46" s="282" t="s">
        <v>366</v>
      </c>
      <c r="E46" s="70" t="s">
        <v>68</v>
      </c>
      <c r="F46" s="180">
        <f>'metrado final'!J312</f>
        <v>0.77252199999999993</v>
      </c>
      <c r="G46" s="105"/>
    </row>
    <row r="47" spans="3:8" ht="13.2" customHeight="1" outlineLevel="2">
      <c r="C47" s="173">
        <f t="shared" ref="C47:C48" si="4">+C46+0.0001</f>
        <v>3.0202</v>
      </c>
      <c r="D47" s="282" t="s">
        <v>525</v>
      </c>
      <c r="E47" s="70" t="s">
        <v>68</v>
      </c>
      <c r="F47" s="180">
        <f>'metrado final'!J323</f>
        <v>0.96565249999999991</v>
      </c>
    </row>
    <row r="48" spans="3:8" ht="13.2" customHeight="1" outlineLevel="1">
      <c r="C48" s="173">
        <f t="shared" si="4"/>
        <v>3.0203000000000002</v>
      </c>
      <c r="D48" s="282" t="s">
        <v>365</v>
      </c>
      <c r="E48" s="70" t="s">
        <v>67</v>
      </c>
      <c r="F48" s="214">
        <f>'metrado final'!J338</f>
        <v>7.7252200000000002</v>
      </c>
    </row>
    <row r="49" spans="2:9" ht="13.2" customHeight="1" outlineLevel="2">
      <c r="C49" s="172">
        <f>C45+0.01</f>
        <v>3.0299999999999994</v>
      </c>
      <c r="D49" s="210" t="s">
        <v>642</v>
      </c>
      <c r="E49" s="70"/>
      <c r="F49" s="180"/>
    </row>
    <row r="50" spans="2:9" s="104" customFormat="1" ht="13.2" customHeight="1">
      <c r="B50" s="64"/>
      <c r="C50" s="173">
        <f>+C49+0.0001</f>
        <v>3.0300999999999996</v>
      </c>
      <c r="D50" s="282" t="s">
        <v>526</v>
      </c>
      <c r="E50" s="209" t="s">
        <v>67</v>
      </c>
      <c r="F50" s="274">
        <f>'metrado final'!J353</f>
        <v>7.7252200000000002</v>
      </c>
      <c r="G50" s="64"/>
    </row>
    <row r="51" spans="2:9" ht="13.2" customHeight="1" outlineLevel="2">
      <c r="C51" s="172">
        <f>C49+0.01</f>
        <v>3.0399999999999991</v>
      </c>
      <c r="D51" s="210" t="s">
        <v>643</v>
      </c>
      <c r="E51" s="275"/>
      <c r="F51" s="214"/>
    </row>
    <row r="52" spans="2:9" ht="13.2" customHeight="1" outlineLevel="2">
      <c r="C52" s="173">
        <f>+C51+0.0001</f>
        <v>3.0400999999999994</v>
      </c>
      <c r="D52" s="286" t="s">
        <v>527</v>
      </c>
      <c r="E52" s="209" t="s">
        <v>67</v>
      </c>
      <c r="F52" s="214">
        <f>'metrado final'!J369</f>
        <v>7.7252200000000002</v>
      </c>
    </row>
    <row r="53" spans="2:9" ht="13.2" customHeight="1" outlineLevel="2">
      <c r="C53" s="172">
        <f>C51+0.01</f>
        <v>3.0499999999999989</v>
      </c>
      <c r="D53" s="210" t="s">
        <v>644</v>
      </c>
      <c r="E53" s="209"/>
      <c r="F53" s="214"/>
    </row>
    <row r="54" spans="2:9" ht="13.2" customHeight="1" outlineLevel="2">
      <c r="C54" s="173">
        <f>+C52+0.0001</f>
        <v>3.0401999999999996</v>
      </c>
      <c r="D54" s="286" t="s">
        <v>528</v>
      </c>
      <c r="E54" s="209" t="s">
        <v>67</v>
      </c>
      <c r="F54" s="214">
        <f>'metrado final'!J381</f>
        <v>7.7252200000000002</v>
      </c>
    </row>
    <row r="55" spans="2:9" ht="13.2" customHeight="1" outlineLevel="1">
      <c r="C55" s="174" t="s">
        <v>78</v>
      </c>
      <c r="D55" s="285" t="s">
        <v>645</v>
      </c>
      <c r="E55" s="71"/>
      <c r="F55" s="180"/>
    </row>
    <row r="56" spans="2:9" ht="13.2" customHeight="1" outlineLevel="2">
      <c r="C56" s="172">
        <f>C55+0.01</f>
        <v>4.01</v>
      </c>
      <c r="D56" s="210" t="s">
        <v>297</v>
      </c>
      <c r="E56" s="71"/>
      <c r="F56" s="180"/>
    </row>
    <row r="57" spans="2:9" ht="13.2" customHeight="1" outlineLevel="2">
      <c r="C57" s="173">
        <f>+C56+0.0001</f>
        <v>4.0100999999999996</v>
      </c>
      <c r="D57" s="282" t="s">
        <v>298</v>
      </c>
      <c r="E57" s="70" t="s">
        <v>67</v>
      </c>
      <c r="F57" s="180">
        <f>'metrado final'!J395</f>
        <v>41.5398</v>
      </c>
    </row>
    <row r="58" spans="2:9" ht="13.2" customHeight="1" outlineLevel="2">
      <c r="C58" s="173">
        <f t="shared" ref="C58:C59" si="5">+C57+0.0001</f>
        <v>4.0101999999999993</v>
      </c>
      <c r="D58" s="282" t="s">
        <v>423</v>
      </c>
      <c r="E58" s="70" t="s">
        <v>67</v>
      </c>
      <c r="F58" s="180">
        <f>'metrado final'!J405</f>
        <v>75.898300000000006</v>
      </c>
      <c r="I58" s="105"/>
    </row>
    <row r="59" spans="2:9" ht="13.2" customHeight="1" outlineLevel="1">
      <c r="C59" s="173">
        <f t="shared" si="5"/>
        <v>4.0102999999999991</v>
      </c>
      <c r="D59" s="282" t="s">
        <v>424</v>
      </c>
      <c r="E59" s="70" t="s">
        <v>68</v>
      </c>
      <c r="F59" s="180">
        <f>'metrado final'!J415</f>
        <v>9.4872875000000008</v>
      </c>
      <c r="I59" s="105"/>
    </row>
    <row r="60" spans="2:9" ht="13.2" customHeight="1" outlineLevel="2">
      <c r="C60" s="172">
        <f>C56+0.01</f>
        <v>4.0199999999999996</v>
      </c>
      <c r="D60" s="210" t="s">
        <v>8</v>
      </c>
      <c r="E60" s="71"/>
      <c r="F60" s="180"/>
    </row>
    <row r="61" spans="2:9" ht="13.2" customHeight="1" outlineLevel="1">
      <c r="C61" s="173">
        <f t="shared" ref="C61:C69" si="6">+C60+0.0001</f>
        <v>4.0200999999999993</v>
      </c>
      <c r="D61" s="282" t="s">
        <v>425</v>
      </c>
      <c r="E61" s="70" t="s">
        <v>68</v>
      </c>
      <c r="F61" s="180">
        <f>'metrado final'!J428</f>
        <v>4.1539799999999998</v>
      </c>
      <c r="I61" s="105"/>
    </row>
    <row r="62" spans="2:9" ht="13.2" customHeight="1" outlineLevel="2">
      <c r="C62" s="173">
        <f t="shared" si="6"/>
        <v>4.0201999999999991</v>
      </c>
      <c r="D62" s="282" t="s">
        <v>326</v>
      </c>
      <c r="E62" s="70" t="s">
        <v>68</v>
      </c>
      <c r="F62" s="180">
        <f>'metrado final'!J437</f>
        <v>5.192475</v>
      </c>
    </row>
    <row r="63" spans="2:9" ht="13.2" customHeight="1" outlineLevel="2">
      <c r="C63" s="173">
        <f>+C62+0.0001</f>
        <v>4.0202999999999989</v>
      </c>
      <c r="D63" s="282" t="s">
        <v>327</v>
      </c>
      <c r="E63" s="70" t="s">
        <v>67</v>
      </c>
      <c r="F63" s="180">
        <f>'metrado final'!J450</f>
        <v>41.5398</v>
      </c>
    </row>
    <row r="64" spans="2:9" ht="13.2" customHeight="1" outlineLevel="2">
      <c r="C64" s="172">
        <f>C60+0.01</f>
        <v>4.0299999999999994</v>
      </c>
      <c r="D64" s="210" t="s">
        <v>638</v>
      </c>
      <c r="E64" s="71"/>
      <c r="F64" s="180"/>
    </row>
    <row r="65" spans="1:8" ht="13.2" customHeight="1" outlineLevel="2">
      <c r="C65" s="173">
        <f t="shared" si="6"/>
        <v>4.0300999999999991</v>
      </c>
      <c r="D65" s="282" t="s">
        <v>414</v>
      </c>
      <c r="E65" s="70" t="s">
        <v>67</v>
      </c>
      <c r="F65" s="180">
        <f>'metrado final'!J463</f>
        <v>41.5398</v>
      </c>
    </row>
    <row r="66" spans="1:8" ht="13.2" customHeight="1" outlineLevel="2">
      <c r="C66" s="172">
        <f>C64+0.01</f>
        <v>4.0399999999999991</v>
      </c>
      <c r="D66" s="210" t="s">
        <v>362</v>
      </c>
      <c r="E66" s="71"/>
      <c r="F66" s="180"/>
    </row>
    <row r="67" spans="1:8" ht="13.2" customHeight="1" outlineLevel="2">
      <c r="C67" s="173">
        <f t="shared" si="6"/>
        <v>4.0400999999999989</v>
      </c>
      <c r="D67" s="282" t="s">
        <v>618</v>
      </c>
      <c r="E67" s="70" t="s">
        <v>67</v>
      </c>
      <c r="F67" s="180">
        <f>'metrado final'!J478</f>
        <v>4.3948600000000004</v>
      </c>
    </row>
    <row r="68" spans="1:8" ht="13.2" customHeight="1" outlineLevel="2">
      <c r="A68" s="251"/>
      <c r="C68" s="173">
        <f t="shared" si="6"/>
        <v>4.0401999999999987</v>
      </c>
      <c r="D68" s="282" t="s">
        <v>651</v>
      </c>
      <c r="E68" s="70" t="s">
        <v>67</v>
      </c>
      <c r="F68" s="180">
        <f>'metrado final'!J490</f>
        <v>41.5398</v>
      </c>
    </row>
    <row r="69" spans="1:8" ht="13.2" customHeight="1" outlineLevel="2">
      <c r="C69" s="173">
        <f t="shared" si="6"/>
        <v>4.0402999999999984</v>
      </c>
      <c r="D69" s="282" t="s">
        <v>328</v>
      </c>
      <c r="E69" s="70" t="s">
        <v>67</v>
      </c>
      <c r="F69" s="180">
        <f>'metrado final'!J500</f>
        <v>41.54</v>
      </c>
    </row>
    <row r="70" spans="1:8" ht="13.2" customHeight="1" outlineLevel="2">
      <c r="C70" s="172">
        <f>C68+0.01</f>
        <v>4.0501999999999985</v>
      </c>
      <c r="D70" s="210" t="s">
        <v>646</v>
      </c>
      <c r="E70" s="70"/>
      <c r="F70" s="180"/>
    </row>
    <row r="71" spans="1:8" ht="13.2" customHeight="1" outlineLevel="2">
      <c r="C71" s="173">
        <f>+C69+0.0001</f>
        <v>4.0403999999999982</v>
      </c>
      <c r="D71" s="283" t="s">
        <v>647</v>
      </c>
      <c r="E71" s="70" t="s">
        <v>54</v>
      </c>
      <c r="F71" s="180">
        <f>'metrado final'!J512</f>
        <v>351.71999999999997</v>
      </c>
      <c r="H71" s="252"/>
    </row>
    <row r="72" spans="1:8" ht="13.2" customHeight="1" outlineLevel="2">
      <c r="C72" s="174" t="s">
        <v>360</v>
      </c>
      <c r="D72" s="285" t="s">
        <v>361</v>
      </c>
      <c r="E72" s="71"/>
      <c r="F72" s="181"/>
    </row>
    <row r="73" spans="1:8" ht="13.2" customHeight="1" outlineLevel="2">
      <c r="C73" s="172">
        <f>C72+0.01</f>
        <v>5.01</v>
      </c>
      <c r="D73" s="210" t="s">
        <v>297</v>
      </c>
      <c r="E73" s="71"/>
      <c r="F73" s="181"/>
    </row>
    <row r="74" spans="1:8" ht="13.2" customHeight="1" outlineLevel="2">
      <c r="C74" s="173">
        <f>+C73+0.0001</f>
        <v>5.0100999999999996</v>
      </c>
      <c r="D74" s="282" t="s">
        <v>298</v>
      </c>
      <c r="E74" s="70" t="s">
        <v>67</v>
      </c>
      <c r="F74" s="180">
        <f>'metrado final'!J527</f>
        <v>9.2105999999999995</v>
      </c>
    </row>
    <row r="75" spans="1:8" ht="13.2" customHeight="1" outlineLevel="2">
      <c r="C75" s="173">
        <f>+C74+0.0001</f>
        <v>5.0101999999999993</v>
      </c>
      <c r="D75" s="282" t="s">
        <v>652</v>
      </c>
      <c r="E75" s="70" t="s">
        <v>67</v>
      </c>
      <c r="F75" s="180">
        <f>'metrado final'!J537</f>
        <v>10.8932</v>
      </c>
    </row>
    <row r="76" spans="1:8" ht="13.2" customHeight="1" outlineLevel="2">
      <c r="C76" s="173">
        <f>+C75+0.0001</f>
        <v>5.0102999999999991</v>
      </c>
      <c r="D76" s="282" t="s">
        <v>529</v>
      </c>
      <c r="E76" s="70" t="s">
        <v>68</v>
      </c>
      <c r="F76" s="180">
        <f>'metrado final'!J545</f>
        <v>4.0837500000000002</v>
      </c>
    </row>
    <row r="77" spans="1:8" ht="13.2" customHeight="1" outlineLevel="2">
      <c r="C77" s="172">
        <f>C73+0.01</f>
        <v>5.0199999999999996</v>
      </c>
      <c r="D77" s="210" t="s">
        <v>8</v>
      </c>
      <c r="E77" s="70"/>
      <c r="F77" s="180"/>
    </row>
    <row r="78" spans="1:8" ht="13.2" customHeight="1" outlineLevel="2">
      <c r="C78" s="173">
        <f>+C77+0.0001</f>
        <v>5.0200999999999993</v>
      </c>
      <c r="D78" s="282" t="s">
        <v>530</v>
      </c>
      <c r="E78" s="70" t="s">
        <v>68</v>
      </c>
      <c r="F78" s="180">
        <f>'metrado final'!J561</f>
        <v>1.3815899999999999</v>
      </c>
    </row>
    <row r="79" spans="1:8" ht="13.2" customHeight="1" outlineLevel="2">
      <c r="C79" s="173">
        <f>+C78+0.0001</f>
        <v>5.0201999999999991</v>
      </c>
      <c r="D79" s="282" t="s">
        <v>531</v>
      </c>
      <c r="E79" s="70" t="s">
        <v>68</v>
      </c>
      <c r="F79" s="180">
        <f>'metrado final'!J570</f>
        <v>1.7269874999999999</v>
      </c>
    </row>
    <row r="80" spans="1:8" ht="13.2" customHeight="1" outlineLevel="2">
      <c r="C80" s="172">
        <f>C77+0.01</f>
        <v>5.0299999999999994</v>
      </c>
      <c r="D80" s="210" t="s">
        <v>532</v>
      </c>
      <c r="E80" s="70"/>
      <c r="F80" s="180"/>
    </row>
    <row r="81" spans="3:6" ht="13.2" customHeight="1" outlineLevel="2">
      <c r="C81" s="173">
        <f t="shared" ref="C81:C84" si="7">+C80+0.0001</f>
        <v>5.0300999999999991</v>
      </c>
      <c r="D81" s="282" t="s">
        <v>415</v>
      </c>
      <c r="E81" s="70" t="s">
        <v>67</v>
      </c>
      <c r="F81" s="180">
        <f>'metrado final'!J584</f>
        <v>73.349366000000003</v>
      </c>
    </row>
    <row r="82" spans="3:6" ht="13.2" customHeight="1" outlineLevel="1">
      <c r="C82" s="173">
        <f t="shared" si="7"/>
        <v>5.0301999999999989</v>
      </c>
      <c r="D82" s="284" t="s">
        <v>648</v>
      </c>
      <c r="E82" s="70" t="s">
        <v>68</v>
      </c>
      <c r="F82" s="180">
        <f>'metrado final'!J606</f>
        <v>4.9326967499999999</v>
      </c>
    </row>
    <row r="83" spans="3:6" ht="13.2" customHeight="1" outlineLevel="2">
      <c r="C83" s="173">
        <f t="shared" si="7"/>
        <v>5.0302999999999987</v>
      </c>
      <c r="D83" s="286" t="s">
        <v>653</v>
      </c>
      <c r="E83" s="70" t="s">
        <v>363</v>
      </c>
      <c r="F83" s="180">
        <f>'metrado final'!J632</f>
        <v>42.462967999999996</v>
      </c>
    </row>
    <row r="84" spans="3:6" ht="13.2" customHeight="1" outlineLevel="2">
      <c r="C84" s="173">
        <f t="shared" si="7"/>
        <v>5.0303999999999984</v>
      </c>
      <c r="D84" s="284" t="s">
        <v>328</v>
      </c>
      <c r="E84" s="70" t="s">
        <v>67</v>
      </c>
      <c r="F84" s="180">
        <f>'metrado final'!J646</f>
        <v>46.045655499999995</v>
      </c>
    </row>
    <row r="85" spans="3:6" ht="13.2" customHeight="1" outlineLevel="2">
      <c r="C85" s="172">
        <f>C82+0.01</f>
        <v>5.0401999999999987</v>
      </c>
      <c r="D85" s="210" t="s">
        <v>646</v>
      </c>
      <c r="E85" s="70"/>
      <c r="F85" s="180"/>
    </row>
    <row r="86" spans="3:6" ht="13.2" customHeight="1" outlineLevel="2">
      <c r="C86" s="173">
        <f>+C84+0.0001</f>
        <v>5.0304999999999982</v>
      </c>
      <c r="D86" s="286" t="s">
        <v>559</v>
      </c>
      <c r="E86" s="70" t="s">
        <v>67</v>
      </c>
      <c r="F86" s="180">
        <f>'metrado final'!J661</f>
        <v>38.540774999999996</v>
      </c>
    </row>
    <row r="87" spans="3:6">
      <c r="C87" s="174" t="s">
        <v>367</v>
      </c>
      <c r="D87" s="285" t="s">
        <v>388</v>
      </c>
      <c r="E87" s="70"/>
      <c r="F87" s="214"/>
    </row>
    <row r="88" spans="3:6">
      <c r="C88" s="172">
        <f>C87+0.01</f>
        <v>6.01</v>
      </c>
      <c r="D88" s="210" t="s">
        <v>297</v>
      </c>
      <c r="E88" s="70"/>
      <c r="F88" s="214"/>
    </row>
    <row r="89" spans="3:6">
      <c r="C89" s="211">
        <f>+C88+0.0001</f>
        <v>6.0100999999999996</v>
      </c>
      <c r="D89" s="282" t="s">
        <v>298</v>
      </c>
      <c r="E89" s="70" t="s">
        <v>67</v>
      </c>
      <c r="F89" s="214">
        <f>'metrado final'!J678</f>
        <v>93.150648000000004</v>
      </c>
    </row>
    <row r="90" spans="3:6">
      <c r="C90" s="211">
        <f t="shared" ref="C90" si="8">+C89+0.0001</f>
        <v>6.0101999999999993</v>
      </c>
      <c r="D90" s="282" t="s">
        <v>533</v>
      </c>
      <c r="E90" s="70" t="s">
        <v>68</v>
      </c>
      <c r="F90" s="214">
        <f>'metrado final'!J692</f>
        <v>68.007038400000013</v>
      </c>
    </row>
    <row r="91" spans="3:6">
      <c r="C91" s="211">
        <f>+C90+0.0001</f>
        <v>6.0102999999999991</v>
      </c>
      <c r="D91" s="282" t="s">
        <v>534</v>
      </c>
      <c r="E91" s="70" t="s">
        <v>68</v>
      </c>
      <c r="F91" s="214">
        <f>'metrado final'!J701</f>
        <v>88.409149920000019</v>
      </c>
    </row>
    <row r="92" spans="3:6">
      <c r="C92" s="212">
        <f>C88+0.01</f>
        <v>6.02</v>
      </c>
      <c r="D92" s="210" t="s">
        <v>8</v>
      </c>
      <c r="E92" s="70"/>
      <c r="F92" s="214"/>
    </row>
    <row r="93" spans="3:6">
      <c r="C93" s="211">
        <f>+C92+0.0001</f>
        <v>6.0200999999999993</v>
      </c>
      <c r="D93" s="282" t="s">
        <v>421</v>
      </c>
      <c r="E93" s="70" t="s">
        <v>68</v>
      </c>
      <c r="F93" s="214">
        <f>'metrado final'!J715</f>
        <v>31.050215999999999</v>
      </c>
    </row>
    <row r="94" spans="3:6">
      <c r="C94" s="211">
        <f t="shared" ref="C94:C95" si="9">+C93+0.0001</f>
        <v>6.0201999999999991</v>
      </c>
      <c r="D94" s="282" t="s">
        <v>535</v>
      </c>
      <c r="E94" s="70" t="s">
        <v>68</v>
      </c>
      <c r="F94" s="214">
        <f>'metrado final'!J723</f>
        <v>38.81277</v>
      </c>
    </row>
    <row r="95" spans="3:6">
      <c r="C95" s="211">
        <f t="shared" si="9"/>
        <v>6.0202999999999989</v>
      </c>
      <c r="D95" s="282" t="s">
        <v>536</v>
      </c>
      <c r="E95" s="70" t="s">
        <v>67</v>
      </c>
      <c r="F95" s="214">
        <f>'metrado final'!J737</f>
        <v>93.150648000000004</v>
      </c>
    </row>
    <row r="96" spans="3:6">
      <c r="C96" s="212">
        <f>C92+0.01</f>
        <v>6.0299999999999994</v>
      </c>
      <c r="D96" s="210" t="s">
        <v>654</v>
      </c>
      <c r="E96" s="71"/>
      <c r="F96" s="214"/>
    </row>
    <row r="97" spans="3:6">
      <c r="C97" s="173">
        <f t="shared" ref="C97:C98" si="10">+C96+0.0001</f>
        <v>6.0300999999999991</v>
      </c>
      <c r="D97" s="282" t="s">
        <v>420</v>
      </c>
      <c r="E97" s="70" t="s">
        <v>67</v>
      </c>
      <c r="F97" s="214">
        <f>'metrado final'!J752</f>
        <v>296.73792000000003</v>
      </c>
    </row>
    <row r="98" spans="3:6">
      <c r="C98" s="173">
        <f t="shared" si="10"/>
        <v>6.0301999999999989</v>
      </c>
      <c r="D98" s="284" t="s">
        <v>537</v>
      </c>
      <c r="E98" s="70" t="s">
        <v>68</v>
      </c>
      <c r="F98" s="214">
        <f>'metrado final'!J765</f>
        <v>105.57073440000001</v>
      </c>
    </row>
    <row r="99" spans="3:6">
      <c r="C99" s="173">
        <f>+C98+0.0001</f>
        <v>6.0302999999999987</v>
      </c>
      <c r="D99" s="282" t="s">
        <v>328</v>
      </c>
      <c r="E99" s="70" t="s">
        <v>67</v>
      </c>
      <c r="F99" s="214">
        <f>'metrado final'!J776</f>
        <v>148.36896000000002</v>
      </c>
    </row>
    <row r="100" spans="3:6">
      <c r="C100" s="212">
        <f>C96+0.01</f>
        <v>6.0399999999999991</v>
      </c>
      <c r="D100" s="210" t="s">
        <v>649</v>
      </c>
      <c r="E100" s="70"/>
      <c r="F100" s="214"/>
    </row>
    <row r="101" spans="3:6">
      <c r="C101" s="173">
        <f>+C99+0.0001</f>
        <v>6.0303999999999984</v>
      </c>
      <c r="D101" s="282" t="s">
        <v>635</v>
      </c>
      <c r="E101" s="70" t="s">
        <v>67</v>
      </c>
      <c r="F101" s="214">
        <f>'metrado final'!J788</f>
        <v>148.36799999999999</v>
      </c>
    </row>
    <row r="102" spans="3:6">
      <c r="C102" s="212">
        <f>C100+0.01</f>
        <v>6.0499999999999989</v>
      </c>
      <c r="D102" s="210" t="s">
        <v>646</v>
      </c>
      <c r="E102" s="70"/>
      <c r="F102" s="214"/>
    </row>
    <row r="103" spans="3:6">
      <c r="C103" s="173">
        <f>+C101+0.0001</f>
        <v>6.0304999999999982</v>
      </c>
      <c r="D103" s="282" t="s">
        <v>650</v>
      </c>
      <c r="E103" s="70" t="s">
        <v>67</v>
      </c>
      <c r="F103" s="214">
        <f>'metrado final'!J800</f>
        <v>69.000479999999996</v>
      </c>
    </row>
    <row r="104" spans="3:6">
      <c r="C104" s="174" t="s">
        <v>383</v>
      </c>
      <c r="D104" s="287" t="s">
        <v>428</v>
      </c>
      <c r="E104" s="70"/>
      <c r="F104" s="214"/>
    </row>
    <row r="105" spans="3:6">
      <c r="C105" s="172">
        <f>C104+0.01</f>
        <v>7.01</v>
      </c>
      <c r="D105" s="210" t="s">
        <v>297</v>
      </c>
      <c r="E105" s="70"/>
      <c r="F105" s="214"/>
    </row>
    <row r="106" spans="3:6">
      <c r="C106" s="211">
        <f>+C105+0.0001</f>
        <v>7.0100999999999996</v>
      </c>
      <c r="D106" s="282" t="s">
        <v>298</v>
      </c>
      <c r="E106" s="70"/>
      <c r="F106" s="214"/>
    </row>
    <row r="107" spans="3:6">
      <c r="C107" s="172">
        <f>C105+0.01</f>
        <v>7.02</v>
      </c>
      <c r="D107" s="210" t="s">
        <v>8</v>
      </c>
      <c r="E107" s="70"/>
      <c r="F107" s="214"/>
    </row>
    <row r="108" spans="3:6">
      <c r="C108" s="211">
        <f>+C107+0.0001</f>
        <v>7.0200999999999993</v>
      </c>
      <c r="D108" s="282" t="s">
        <v>425</v>
      </c>
      <c r="E108" s="70" t="s">
        <v>68</v>
      </c>
      <c r="F108" s="214">
        <f>'metrado final'!J813</f>
        <v>8</v>
      </c>
    </row>
    <row r="109" spans="3:6">
      <c r="C109" s="211">
        <f>+C108+0.0001</f>
        <v>7.0201999999999991</v>
      </c>
      <c r="D109" s="282" t="s">
        <v>326</v>
      </c>
      <c r="E109" s="70" t="s">
        <v>68</v>
      </c>
      <c r="F109" s="214">
        <f>'metrado final'!J833</f>
        <v>4.0225</v>
      </c>
    </row>
    <row r="110" spans="3:6">
      <c r="C110" s="172">
        <f>C107+0.01</f>
        <v>7.0299999999999994</v>
      </c>
      <c r="D110" s="210" t="s">
        <v>532</v>
      </c>
      <c r="E110" s="70"/>
      <c r="F110" s="214"/>
    </row>
    <row r="111" spans="3:6">
      <c r="C111" s="211">
        <f>+C110+0.0001</f>
        <v>7.0300999999999991</v>
      </c>
      <c r="D111" s="282" t="s">
        <v>404</v>
      </c>
      <c r="E111" s="70" t="s">
        <v>67</v>
      </c>
      <c r="F111" s="180">
        <f>'metrado final'!J846</f>
        <v>80.436000000000007</v>
      </c>
    </row>
    <row r="112" spans="3:6">
      <c r="C112" s="211">
        <f>+C111+0.0001</f>
        <v>7.0301999999999989</v>
      </c>
      <c r="D112" s="282" t="s">
        <v>658</v>
      </c>
      <c r="E112" s="70" t="s">
        <v>68</v>
      </c>
      <c r="F112" s="214">
        <f>'metrado final'!J863</f>
        <v>5.0495520000000003</v>
      </c>
    </row>
    <row r="113" spans="3:6">
      <c r="C113" s="211">
        <f>+C112+0.0001</f>
        <v>7.0302999999999987</v>
      </c>
      <c r="D113" s="282" t="s">
        <v>538</v>
      </c>
      <c r="E113" s="70" t="s">
        <v>363</v>
      </c>
      <c r="F113" s="214">
        <f>'metrado final'!J884</f>
        <v>18.091250000000002</v>
      </c>
    </row>
    <row r="114" spans="3:6">
      <c r="C114" s="211">
        <f>+C113+0.0001</f>
        <v>7.0303999999999984</v>
      </c>
      <c r="D114" s="282" t="s">
        <v>616</v>
      </c>
      <c r="E114" s="70" t="s">
        <v>67</v>
      </c>
      <c r="F114" s="214">
        <f>'metrado final'!J897</f>
        <v>47.658000000000001</v>
      </c>
    </row>
    <row r="115" spans="3:6">
      <c r="C115" s="172">
        <f>C112+0.01</f>
        <v>7.0401999999999987</v>
      </c>
      <c r="D115" s="210" t="s">
        <v>659</v>
      </c>
      <c r="E115" s="70"/>
      <c r="F115" s="214"/>
    </row>
    <row r="116" spans="3:6">
      <c r="C116" s="211">
        <f>+C114+0.0001</f>
        <v>7.0304999999999982</v>
      </c>
      <c r="D116" s="282" t="s">
        <v>635</v>
      </c>
      <c r="E116" s="70" t="s">
        <v>67</v>
      </c>
      <c r="F116" s="214">
        <f>'metrado final'!J911</f>
        <v>47.658000000000001</v>
      </c>
    </row>
    <row r="117" spans="3:6">
      <c r="C117" s="174" t="s">
        <v>386</v>
      </c>
      <c r="D117" s="287" t="s">
        <v>539</v>
      </c>
      <c r="E117" s="70"/>
      <c r="F117" s="214"/>
    </row>
    <row r="118" spans="3:6">
      <c r="C118" s="172">
        <f>C117+0.01</f>
        <v>8.01</v>
      </c>
      <c r="D118" s="210" t="s">
        <v>297</v>
      </c>
      <c r="E118" s="70"/>
      <c r="F118" s="214"/>
    </row>
    <row r="119" spans="3:6">
      <c r="C119" s="211">
        <f>+C118+0.0001</f>
        <v>8.0100999999999996</v>
      </c>
      <c r="D119" s="282" t="s">
        <v>298</v>
      </c>
      <c r="E119" s="70" t="s">
        <v>67</v>
      </c>
      <c r="F119" s="214">
        <f>'metrado final'!J924</f>
        <v>91.195999999999998</v>
      </c>
    </row>
    <row r="120" spans="3:6">
      <c r="C120" s="172">
        <f>C118+0.01</f>
        <v>8.02</v>
      </c>
      <c r="D120" s="210" t="s">
        <v>8</v>
      </c>
      <c r="E120" s="70"/>
      <c r="F120" s="214"/>
    </row>
    <row r="121" spans="3:6">
      <c r="C121" s="211">
        <f>+C120+0.0001</f>
        <v>8.0200999999999993</v>
      </c>
      <c r="D121" s="282" t="s">
        <v>425</v>
      </c>
      <c r="E121" s="70" t="s">
        <v>68</v>
      </c>
      <c r="F121" s="214">
        <f>'metrado final'!J935</f>
        <v>6.3837200000000003</v>
      </c>
    </row>
    <row r="122" spans="3:6">
      <c r="C122" s="211">
        <f>+C121+0.0001</f>
        <v>8.0201999999999991</v>
      </c>
      <c r="D122" s="282" t="s">
        <v>326</v>
      </c>
      <c r="E122" s="70" t="s">
        <v>68</v>
      </c>
      <c r="F122" s="214">
        <f>'metrado final'!J945</f>
        <v>7.9796500000000004</v>
      </c>
    </row>
    <row r="123" spans="3:6">
      <c r="C123" s="173">
        <f>+C122+0.0001</f>
        <v>8.0202999999999989</v>
      </c>
      <c r="D123" s="282" t="s">
        <v>327</v>
      </c>
      <c r="E123" s="70" t="s">
        <v>67</v>
      </c>
      <c r="F123" s="214">
        <f>'metrado final'!J956</f>
        <v>91.195999999999998</v>
      </c>
    </row>
    <row r="124" spans="3:6">
      <c r="C124" s="172">
        <f>C120+0.01</f>
        <v>8.0299999999999994</v>
      </c>
      <c r="D124" s="210" t="s">
        <v>638</v>
      </c>
      <c r="E124" s="70"/>
      <c r="F124" s="214"/>
    </row>
    <row r="125" spans="3:6">
      <c r="C125" s="173">
        <f>+C124+0.0001</f>
        <v>8.0300999999999991</v>
      </c>
      <c r="D125" s="286" t="s">
        <v>660</v>
      </c>
      <c r="E125" s="70" t="s">
        <v>67</v>
      </c>
      <c r="F125" s="214">
        <f>'metrado final'!J968</f>
        <v>6.3837200000000003</v>
      </c>
    </row>
    <row r="126" spans="3:6">
      <c r="C126" s="212">
        <f>C124+0.01</f>
        <v>8.0399999999999991</v>
      </c>
      <c r="D126" s="210" t="s">
        <v>429</v>
      </c>
      <c r="E126" s="70"/>
      <c r="F126" s="214"/>
    </row>
    <row r="127" spans="3:6">
      <c r="C127" s="211">
        <f>+C126+0.0001</f>
        <v>8.0400999999999989</v>
      </c>
      <c r="D127" s="282" t="s">
        <v>540</v>
      </c>
      <c r="E127" s="70" t="s">
        <v>67</v>
      </c>
      <c r="F127" s="214">
        <f>'metrado final'!J977</f>
        <v>91.195999999999998</v>
      </c>
    </row>
    <row r="128" spans="3:6">
      <c r="C128" s="174" t="s">
        <v>541</v>
      </c>
      <c r="D128" s="285" t="s">
        <v>661</v>
      </c>
      <c r="E128" s="237"/>
      <c r="F128" s="237"/>
    </row>
    <row r="129" spans="3:6">
      <c r="C129" s="172">
        <f>C128+0.01</f>
        <v>9.01</v>
      </c>
      <c r="D129" s="167" t="s">
        <v>493</v>
      </c>
      <c r="E129" s="250"/>
      <c r="F129" s="237"/>
    </row>
    <row r="130" spans="3:6">
      <c r="C130" s="173">
        <f>+C129+0.0001</f>
        <v>9.0100999999999996</v>
      </c>
      <c r="D130" s="187" t="s">
        <v>494</v>
      </c>
      <c r="E130" s="70" t="s">
        <v>64</v>
      </c>
      <c r="F130" s="237">
        <f>'metrado final'!J988</f>
        <v>3</v>
      </c>
    </row>
    <row r="131" spans="3:6">
      <c r="C131" s="173">
        <f>+C130+0.0001</f>
        <v>9.0101999999999993</v>
      </c>
      <c r="D131" s="187" t="s">
        <v>497</v>
      </c>
      <c r="E131" s="250" t="s">
        <v>64</v>
      </c>
      <c r="F131" s="237">
        <f>'metrado final'!J996</f>
        <v>3</v>
      </c>
    </row>
    <row r="132" spans="3:6">
      <c r="C132" s="173">
        <f>+C131+0.0001</f>
        <v>9.0102999999999991</v>
      </c>
      <c r="D132" s="187" t="s">
        <v>499</v>
      </c>
      <c r="E132" s="237" t="s">
        <v>68</v>
      </c>
      <c r="F132" s="237">
        <f>'metrado final'!J1005</f>
        <v>2.4989999999999997</v>
      </c>
    </row>
    <row r="133" spans="3:6">
      <c r="C133" s="173">
        <f>+C132+0.0001</f>
        <v>9.0103999999999989</v>
      </c>
      <c r="D133" s="255" t="s">
        <v>544</v>
      </c>
      <c r="E133" s="71" t="s">
        <v>64</v>
      </c>
      <c r="F133" s="237">
        <f>'metrado final'!J1013</f>
        <v>3</v>
      </c>
    </row>
    <row r="134" spans="3:6">
      <c r="C134" s="172">
        <f>C129+0.01</f>
        <v>9.02</v>
      </c>
      <c r="D134" s="167" t="s">
        <v>502</v>
      </c>
      <c r="E134" s="71"/>
      <c r="F134" s="71"/>
    </row>
    <row r="135" spans="3:6">
      <c r="C135" s="173">
        <f>+C134+0.0001</f>
        <v>9.0200999999999993</v>
      </c>
      <c r="D135" s="255" t="s">
        <v>545</v>
      </c>
      <c r="E135" s="71" t="s">
        <v>54</v>
      </c>
      <c r="F135" s="237">
        <f>'metrado final'!J1022</f>
        <v>62.351500000000001</v>
      </c>
    </row>
    <row r="136" spans="3:6">
      <c r="C136" s="172">
        <f>C134+0.01</f>
        <v>9.0299999999999994</v>
      </c>
      <c r="D136" s="167" t="s">
        <v>505</v>
      </c>
      <c r="E136" s="71"/>
      <c r="F136" s="71"/>
    </row>
    <row r="137" spans="3:6">
      <c r="C137" s="173">
        <f>+C136+0.0001</f>
        <v>9.0300999999999991</v>
      </c>
      <c r="D137" s="255" t="s">
        <v>662</v>
      </c>
      <c r="E137" s="71" t="s">
        <v>64</v>
      </c>
      <c r="F137" s="237">
        <f>'metrado final'!J1032</f>
        <v>9</v>
      </c>
    </row>
    <row r="138" spans="3:6">
      <c r="C138" s="172">
        <f>C136+0.01</f>
        <v>9.0399999999999991</v>
      </c>
      <c r="D138" s="167" t="s">
        <v>507</v>
      </c>
      <c r="E138" s="71"/>
      <c r="F138" s="71"/>
    </row>
    <row r="139" spans="3:6">
      <c r="C139" s="173">
        <f>+C138+0.0001</f>
        <v>9.0400999999999989</v>
      </c>
      <c r="D139" s="255" t="s">
        <v>547</v>
      </c>
      <c r="E139" s="71" t="s">
        <v>66</v>
      </c>
      <c r="F139" s="237">
        <f>'metrado final'!J1042</f>
        <v>1</v>
      </c>
    </row>
    <row r="140" spans="3:6">
      <c r="C140" s="173">
        <f>+C139+0.0001</f>
        <v>9.0401999999999987</v>
      </c>
      <c r="D140" s="255" t="s">
        <v>546</v>
      </c>
      <c r="E140" s="71" t="s">
        <v>66</v>
      </c>
      <c r="F140" s="237">
        <f>'metrado final'!J1052</f>
        <v>1</v>
      </c>
    </row>
    <row r="141" spans="3:6">
      <c r="C141" s="174" t="s">
        <v>395</v>
      </c>
      <c r="D141" s="165" t="s">
        <v>387</v>
      </c>
      <c r="E141" s="70"/>
      <c r="F141" s="214"/>
    </row>
    <row r="142" spans="3:6">
      <c r="C142" s="172">
        <f t="shared" ref="C142:C148" si="11">C141+0.01</f>
        <v>10.01</v>
      </c>
      <c r="D142" s="167" t="s">
        <v>426</v>
      </c>
      <c r="E142" s="71" t="s">
        <v>66</v>
      </c>
      <c r="F142" s="214">
        <f>'metrado final'!J1062</f>
        <v>1</v>
      </c>
    </row>
    <row r="143" spans="3:6">
      <c r="C143" s="172">
        <f t="shared" si="11"/>
        <v>10.02</v>
      </c>
      <c r="D143" s="167" t="s">
        <v>427</v>
      </c>
      <c r="E143" s="71" t="s">
        <v>66</v>
      </c>
      <c r="F143" s="214">
        <f>'metrado final'!J1071</f>
        <v>1</v>
      </c>
    </row>
    <row r="144" spans="3:6">
      <c r="C144" s="172">
        <f t="shared" si="11"/>
        <v>10.029999999999999</v>
      </c>
      <c r="D144" s="167" t="s">
        <v>452</v>
      </c>
      <c r="E144" s="71" t="s">
        <v>64</v>
      </c>
      <c r="F144" s="214">
        <f>'metrado final'!J1080</f>
        <v>2</v>
      </c>
    </row>
    <row r="145" spans="3:6">
      <c r="C145" s="172">
        <f t="shared" si="11"/>
        <v>10.039999999999999</v>
      </c>
      <c r="D145" s="167" t="s">
        <v>542</v>
      </c>
      <c r="E145" s="71" t="s">
        <v>64</v>
      </c>
      <c r="F145" s="214">
        <f>'metrado final'!J1089</f>
        <v>7</v>
      </c>
    </row>
    <row r="146" spans="3:6">
      <c r="C146" s="172">
        <f t="shared" si="11"/>
        <v>10.049999999999999</v>
      </c>
      <c r="D146" s="167" t="s">
        <v>543</v>
      </c>
      <c r="E146" s="71" t="s">
        <v>64</v>
      </c>
      <c r="F146" s="214">
        <f>'metrado final'!J1097</f>
        <v>1</v>
      </c>
    </row>
    <row r="147" spans="3:6">
      <c r="C147" s="172">
        <f t="shared" si="11"/>
        <v>10.059999999999999</v>
      </c>
      <c r="D147" s="167" t="s">
        <v>438</v>
      </c>
      <c r="E147" s="70" t="s">
        <v>67</v>
      </c>
      <c r="F147" s="214">
        <f>'metrado final'!J1106</f>
        <v>19.467700000000001</v>
      </c>
    </row>
    <row r="148" spans="3:6">
      <c r="C148" s="172">
        <f t="shared" si="11"/>
        <v>10.069999999999999</v>
      </c>
      <c r="D148" s="167" t="s">
        <v>479</v>
      </c>
      <c r="E148" s="70" t="s">
        <v>54</v>
      </c>
      <c r="F148" s="214">
        <f>'metrado final'!J1115</f>
        <v>57.522000000000006</v>
      </c>
    </row>
    <row r="149" spans="3:6">
      <c r="C149" s="174" t="s">
        <v>433</v>
      </c>
      <c r="D149" s="224" t="s">
        <v>518</v>
      </c>
      <c r="E149" s="70"/>
      <c r="F149" s="214"/>
    </row>
    <row r="150" spans="3:6">
      <c r="C150" s="172">
        <f>C149+0.01</f>
        <v>11.01</v>
      </c>
      <c r="D150" s="167" t="s">
        <v>297</v>
      </c>
      <c r="E150" s="70"/>
      <c r="F150" s="214"/>
    </row>
    <row r="151" spans="3:6">
      <c r="C151" s="173">
        <f>+C150+0.0001</f>
        <v>11.0101</v>
      </c>
      <c r="D151" s="223" t="s">
        <v>298</v>
      </c>
      <c r="E151" s="64" t="s">
        <v>67</v>
      </c>
      <c r="F151" s="214">
        <f>'metrado final'!J1129</f>
        <v>37.485810000000001</v>
      </c>
    </row>
    <row r="152" spans="3:6">
      <c r="C152" s="172">
        <f>C150+0.01</f>
        <v>11.02</v>
      </c>
      <c r="D152" s="167" t="s">
        <v>8</v>
      </c>
      <c r="E152" s="70"/>
      <c r="F152" s="214"/>
    </row>
    <row r="153" spans="3:6">
      <c r="C153" s="211">
        <f>+C152+0.0001</f>
        <v>11.020099999999999</v>
      </c>
      <c r="D153" s="223" t="s">
        <v>425</v>
      </c>
      <c r="E153" s="71" t="s">
        <v>68</v>
      </c>
      <c r="F153" s="214">
        <f>'metrado final'!J1143</f>
        <v>3.7485810000000002</v>
      </c>
    </row>
    <row r="154" spans="3:6">
      <c r="C154" s="211">
        <f>+C153+0.0001</f>
        <v>11.020199999999999</v>
      </c>
      <c r="D154" s="223" t="s">
        <v>326</v>
      </c>
      <c r="E154" s="225" t="s">
        <v>68</v>
      </c>
      <c r="F154" s="214">
        <f>'metrado final'!J1152</f>
        <v>4.6857262500000001</v>
      </c>
    </row>
    <row r="155" spans="3:6">
      <c r="C155" s="173">
        <f>+C154+0.0001</f>
        <v>11.020299999999999</v>
      </c>
      <c r="D155" s="223" t="s">
        <v>327</v>
      </c>
      <c r="E155" s="71" t="s">
        <v>67</v>
      </c>
      <c r="F155" s="214">
        <f>'metrado final'!J1165</f>
        <v>37.485810000000001</v>
      </c>
    </row>
    <row r="156" spans="3:6">
      <c r="C156" s="172">
        <f>C153+0.01</f>
        <v>11.030099999999999</v>
      </c>
      <c r="D156" s="167" t="s">
        <v>642</v>
      </c>
      <c r="E156" s="176"/>
      <c r="F156" s="214"/>
    </row>
    <row r="157" spans="3:6">
      <c r="C157" s="253">
        <f>+C156+0.0001</f>
        <v>11.030199999999999</v>
      </c>
      <c r="D157" s="254" t="s">
        <v>519</v>
      </c>
      <c r="E157" s="209" t="s">
        <v>68</v>
      </c>
      <c r="F157" s="214">
        <f>'metrado final'!J1180</f>
        <v>7.4971620000000003</v>
      </c>
    </row>
    <row r="158" spans="3:6">
      <c r="C158" s="172">
        <f>C156+0.01</f>
        <v>11.040099999999999</v>
      </c>
      <c r="D158" s="167" t="s">
        <v>663</v>
      </c>
      <c r="E158" s="209"/>
      <c r="F158" s="297"/>
    </row>
    <row r="159" spans="3:6">
      <c r="C159" s="253">
        <f>+C158+0.0001</f>
        <v>11.040199999999999</v>
      </c>
      <c r="D159" s="254" t="s">
        <v>664</v>
      </c>
      <c r="E159" s="209"/>
      <c r="F159" s="297"/>
    </row>
    <row r="160" spans="3:6">
      <c r="C160" s="174" t="s">
        <v>437</v>
      </c>
      <c r="D160" s="165" t="s">
        <v>430</v>
      </c>
      <c r="E160" s="71"/>
      <c r="F160" s="71"/>
    </row>
    <row r="161" spans="3:6">
      <c r="C161" s="172">
        <f>C160+0.01</f>
        <v>12.01</v>
      </c>
      <c r="D161" s="167" t="s">
        <v>297</v>
      </c>
      <c r="E161" s="71"/>
      <c r="F161" s="71"/>
    </row>
    <row r="162" spans="3:6">
      <c r="C162" s="173">
        <f>+C161+0.0001</f>
        <v>12.0101</v>
      </c>
      <c r="D162" s="223" t="s">
        <v>298</v>
      </c>
      <c r="E162" s="71" t="s">
        <v>67</v>
      </c>
      <c r="F162" s="237">
        <f>'metrado final'!J1196</f>
        <v>34.475279999999998</v>
      </c>
    </row>
    <row r="163" spans="3:6">
      <c r="C163" s="172">
        <f>C161+0.01</f>
        <v>12.02</v>
      </c>
      <c r="D163" s="167" t="s">
        <v>8</v>
      </c>
      <c r="E163" s="70"/>
      <c r="F163" s="237"/>
    </row>
    <row r="164" spans="3:6">
      <c r="C164" s="173">
        <f>+C163+0.0001</f>
        <v>12.020099999999999</v>
      </c>
      <c r="D164" s="223" t="s">
        <v>456</v>
      </c>
      <c r="E164" s="70" t="s">
        <v>68</v>
      </c>
      <c r="F164" s="237">
        <f>'metrado final'!J1210</f>
        <v>1.1879999999999997</v>
      </c>
    </row>
    <row r="165" spans="3:6">
      <c r="C165" s="173">
        <f>+C164+0.0001</f>
        <v>12.020199999999999</v>
      </c>
      <c r="D165" s="223" t="s">
        <v>431</v>
      </c>
      <c r="E165" s="70" t="s">
        <v>68</v>
      </c>
      <c r="F165" s="237">
        <f>'metrado final'!J1221</f>
        <v>1.4849999999999997</v>
      </c>
    </row>
    <row r="166" spans="3:6">
      <c r="C166" s="172">
        <f>C163+0.01</f>
        <v>12.03</v>
      </c>
      <c r="D166" s="167" t="s">
        <v>362</v>
      </c>
      <c r="E166" s="70"/>
      <c r="F166" s="237"/>
    </row>
    <row r="167" spans="3:6">
      <c r="C167" s="173">
        <f>+C166+0.0001</f>
        <v>12.030099999999999</v>
      </c>
      <c r="D167" s="223" t="s">
        <v>567</v>
      </c>
      <c r="E167" s="70" t="s">
        <v>68</v>
      </c>
      <c r="F167" s="237">
        <f>'metrado final'!J1234</f>
        <v>2.2679999999999998</v>
      </c>
    </row>
    <row r="168" spans="3:6">
      <c r="C168" s="172">
        <f>C166+0.01</f>
        <v>12.04</v>
      </c>
      <c r="D168" s="167" t="s">
        <v>624</v>
      </c>
      <c r="E168" s="70"/>
      <c r="F168" s="237"/>
    </row>
    <row r="169" spans="3:6">
      <c r="C169" s="173">
        <f>+C168+0.0001</f>
        <v>12.040099999999999</v>
      </c>
      <c r="D169" s="223" t="s">
        <v>432</v>
      </c>
      <c r="E169" s="250" t="s">
        <v>54</v>
      </c>
      <c r="F169" s="237">
        <f>'metrado final'!J1247</f>
        <v>109.2675</v>
      </c>
    </row>
    <row r="170" spans="3:6">
      <c r="C170" s="173">
        <f>+C169+0.0001</f>
        <v>12.040199999999999</v>
      </c>
      <c r="D170" s="223" t="s">
        <v>629</v>
      </c>
      <c r="E170" s="250" t="s">
        <v>54</v>
      </c>
      <c r="F170" s="237">
        <f>'metrado final'!J1260</f>
        <v>806.06</v>
      </c>
    </row>
    <row r="171" spans="3:6">
      <c r="C171" s="173">
        <f>+C170+0.0001</f>
        <v>12.040299999999998</v>
      </c>
      <c r="D171" s="223" t="s">
        <v>625</v>
      </c>
      <c r="E171" s="250" t="s">
        <v>67</v>
      </c>
      <c r="F171" s="237">
        <f>'metrado final'!J1271</f>
        <v>506.49519999999995</v>
      </c>
    </row>
    <row r="172" spans="3:6">
      <c r="C172" s="173">
        <f>+C171+0.0001</f>
        <v>12.040399999999998</v>
      </c>
      <c r="D172" s="223" t="s">
        <v>621</v>
      </c>
      <c r="E172" s="250" t="s">
        <v>67</v>
      </c>
      <c r="F172" s="237">
        <f>'metrado final'!J1281</f>
        <v>1223.8239999999998</v>
      </c>
    </row>
    <row r="173" spans="3:6">
      <c r="C173" s="174" t="s">
        <v>480</v>
      </c>
      <c r="D173" s="165" t="s">
        <v>434</v>
      </c>
      <c r="E173" s="250"/>
      <c r="F173" s="237"/>
    </row>
    <row r="174" spans="3:6">
      <c r="C174" s="172">
        <f>C173+0.01</f>
        <v>13.01</v>
      </c>
      <c r="D174" s="167" t="s">
        <v>435</v>
      </c>
      <c r="E174" s="70"/>
      <c r="F174" s="237"/>
    </row>
    <row r="175" spans="3:6">
      <c r="C175" s="173">
        <f>+C174+0.0001</f>
        <v>13.0101</v>
      </c>
      <c r="D175" s="187" t="s">
        <v>298</v>
      </c>
      <c r="E175" s="70" t="s">
        <v>67</v>
      </c>
      <c r="F175" s="237">
        <f>'metrado final'!J1295</f>
        <v>154.16679999999999</v>
      </c>
    </row>
    <row r="176" spans="3:6">
      <c r="C176" s="173">
        <f t="shared" ref="C176:C178" si="12">+C175+0.0001</f>
        <v>13.010199999999999</v>
      </c>
      <c r="D176" s="187" t="s">
        <v>425</v>
      </c>
      <c r="E176" s="70" t="s">
        <v>68</v>
      </c>
      <c r="F176" s="237">
        <f>'metrado final'!J1306</f>
        <v>14.835880000000001</v>
      </c>
    </row>
    <row r="177" spans="3:6">
      <c r="C177" s="173">
        <f t="shared" si="12"/>
        <v>13.010299999999999</v>
      </c>
      <c r="D177" s="187" t="s">
        <v>548</v>
      </c>
      <c r="E177" s="70" t="s">
        <v>68</v>
      </c>
      <c r="F177" s="237">
        <f>'metrado final'!J1316</f>
        <v>18.54485</v>
      </c>
    </row>
    <row r="178" spans="3:6">
      <c r="C178" s="173">
        <f t="shared" si="12"/>
        <v>13.010399999999999</v>
      </c>
      <c r="D178" s="187" t="s">
        <v>458</v>
      </c>
      <c r="E178" s="250" t="s">
        <v>67</v>
      </c>
      <c r="F178" s="237">
        <f>'metrado final'!J1327</f>
        <v>154.16679999999999</v>
      </c>
    </row>
    <row r="179" spans="3:6">
      <c r="C179" s="172">
        <f>C174+0.01</f>
        <v>13.02</v>
      </c>
      <c r="D179" s="167" t="s">
        <v>436</v>
      </c>
      <c r="E179" s="70"/>
      <c r="F179" s="237"/>
    </row>
    <row r="180" spans="3:6">
      <c r="C180" s="173">
        <f t="shared" ref="C180:C185" si="13">+C179+0.0001</f>
        <v>13.020099999999999</v>
      </c>
      <c r="D180" s="187" t="s">
        <v>549</v>
      </c>
      <c r="E180" s="70" t="s">
        <v>68</v>
      </c>
      <c r="F180" s="237">
        <f>'metrado final'!J1339</f>
        <v>0.89999999999999991</v>
      </c>
    </row>
    <row r="181" spans="3:6">
      <c r="C181" s="173">
        <f t="shared" si="13"/>
        <v>13.020199999999999</v>
      </c>
      <c r="D181" s="187" t="s">
        <v>550</v>
      </c>
      <c r="E181" s="70" t="s">
        <v>68</v>
      </c>
      <c r="F181" s="237">
        <f>'metrado final'!J1351</f>
        <v>0.24000000000000005</v>
      </c>
    </row>
    <row r="182" spans="3:6">
      <c r="C182" s="173">
        <f t="shared" si="13"/>
        <v>13.020299999999999</v>
      </c>
      <c r="D182" s="273" t="s">
        <v>573</v>
      </c>
      <c r="E182" s="70" t="s">
        <v>64</v>
      </c>
      <c r="F182" s="237">
        <f>'metrado final'!J1362</f>
        <v>16</v>
      </c>
    </row>
    <row r="183" spans="3:6">
      <c r="C183" s="173">
        <f t="shared" si="13"/>
        <v>13.020399999999999</v>
      </c>
      <c r="D183" s="187" t="s">
        <v>552</v>
      </c>
      <c r="E183" s="71" t="s">
        <v>64</v>
      </c>
      <c r="F183" s="237">
        <f>'metrado final'!J1373</f>
        <v>14</v>
      </c>
    </row>
    <row r="184" spans="3:6">
      <c r="C184" s="173">
        <f t="shared" si="13"/>
        <v>13.020499999999998</v>
      </c>
      <c r="D184" s="187" t="s">
        <v>551</v>
      </c>
      <c r="E184" s="71" t="s">
        <v>64</v>
      </c>
      <c r="F184" s="237">
        <f>'metrado final'!J1384</f>
        <v>12</v>
      </c>
    </row>
    <row r="185" spans="3:6">
      <c r="C185" s="173">
        <f t="shared" si="13"/>
        <v>13.020599999999998</v>
      </c>
      <c r="D185" s="187" t="s">
        <v>607</v>
      </c>
      <c r="E185" s="71" t="s">
        <v>64</v>
      </c>
      <c r="F185" s="237">
        <f>'metrado final'!J1395</f>
        <v>12</v>
      </c>
    </row>
    <row r="186" spans="3:6">
      <c r="C186" s="174" t="s">
        <v>517</v>
      </c>
      <c r="D186" s="165" t="s">
        <v>55</v>
      </c>
      <c r="E186" s="71"/>
      <c r="F186" s="71"/>
    </row>
    <row r="187" spans="3:6">
      <c r="C187" s="186">
        <f>C186+0.01</f>
        <v>14.01</v>
      </c>
      <c r="D187" s="187" t="s">
        <v>309</v>
      </c>
      <c r="E187" s="71" t="s">
        <v>67</v>
      </c>
      <c r="F187" s="237">
        <f>'metrado final'!J1406</f>
        <v>1294.3504</v>
      </c>
    </row>
    <row r="188" spans="3:6" ht="13.8" thickBot="1">
      <c r="C188" s="188">
        <f>C187+0.01</f>
        <v>14.02</v>
      </c>
      <c r="D188" s="189" t="s">
        <v>310</v>
      </c>
      <c r="E188" s="71" t="s">
        <v>67</v>
      </c>
      <c r="F188" s="237">
        <f>'metrado final'!J1416</f>
        <v>1294.3504</v>
      </c>
    </row>
    <row r="192" spans="3:6">
      <c r="C192" s="69"/>
      <c r="D192" s="65"/>
    </row>
    <row r="193" spans="3:4">
      <c r="C193" s="69"/>
      <c r="D193" s="65"/>
    </row>
    <row r="194" spans="3:4">
      <c r="C194" s="69"/>
      <c r="D194" s="65"/>
    </row>
    <row r="195" spans="3:4">
      <c r="C195" s="68"/>
      <c r="D195" s="67"/>
    </row>
    <row r="196" spans="3:4">
      <c r="C196" s="69"/>
      <c r="D196" s="65"/>
    </row>
  </sheetData>
  <mergeCells count="6">
    <mergeCell ref="C2:F2"/>
    <mergeCell ref="C4:C5"/>
    <mergeCell ref="D6:F6"/>
    <mergeCell ref="D7:F7"/>
    <mergeCell ref="D4:D5"/>
    <mergeCell ref="E4:E5"/>
  </mergeCells>
  <phoneticPr fontId="15" type="noConversion"/>
  <printOptions horizontalCentered="1"/>
  <pageMargins left="0.78740157480314965" right="0.9055118110236221" top="0.94488188976377963" bottom="0.19685039370078741" header="0.31496062992125984" footer="0.31496062992125984"/>
  <pageSetup paperSize="9" scale="69" fitToWidth="2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0:O163"/>
  <sheetViews>
    <sheetView topLeftCell="A33" zoomScale="80" zoomScaleNormal="80" workbookViewId="0">
      <selection activeCell="Q159" sqref="Q159"/>
    </sheetView>
  </sheetViews>
  <sheetFormatPr baseColWidth="10" defaultColWidth="15.88671875" defaultRowHeight="14.4"/>
  <cols>
    <col min="3" max="3" width="34.6640625" customWidth="1"/>
  </cols>
  <sheetData>
    <row r="10" spans="3:4" ht="15" thickBot="1"/>
    <row r="11" spans="3:4" ht="15.6" thickTop="1" thickBot="1">
      <c r="C11" s="72"/>
    </row>
    <row r="12" spans="3:4" ht="97.8" thickTop="1" thickBot="1">
      <c r="C12" s="74" t="s">
        <v>79</v>
      </c>
      <c r="D12" s="73" t="s">
        <v>86</v>
      </c>
    </row>
    <row r="13" spans="3:4">
      <c r="C13" s="75" t="s">
        <v>80</v>
      </c>
      <c r="D13" s="76" t="s">
        <v>81</v>
      </c>
    </row>
    <row r="14" spans="3:4">
      <c r="C14" s="75" t="s">
        <v>82</v>
      </c>
      <c r="D14" s="76" t="s">
        <v>83</v>
      </c>
    </row>
    <row r="15" spans="3:4">
      <c r="C15" s="75" t="s">
        <v>87</v>
      </c>
      <c r="D15" s="76" t="s">
        <v>84</v>
      </c>
    </row>
    <row r="16" spans="3:4" ht="57.75" customHeight="1" thickBot="1">
      <c r="C16" s="77" t="s">
        <v>88</v>
      </c>
      <c r="D16" s="77" t="s">
        <v>85</v>
      </c>
    </row>
    <row r="17" spans="3:5" ht="15" thickTop="1"/>
    <row r="20" spans="3:5">
      <c r="C20" t="s">
        <v>79</v>
      </c>
      <c r="D20" t="s">
        <v>86</v>
      </c>
    </row>
    <row r="21" spans="3:5">
      <c r="C21" t="s">
        <v>80</v>
      </c>
      <c r="D21" t="s">
        <v>81</v>
      </c>
    </row>
    <row r="22" spans="3:5">
      <c r="C22" t="s">
        <v>82</v>
      </c>
      <c r="D22" t="s">
        <v>83</v>
      </c>
    </row>
    <row r="23" spans="3:5">
      <c r="C23" t="s">
        <v>87</v>
      </c>
      <c r="D23" t="s">
        <v>84</v>
      </c>
    </row>
    <row r="24" spans="3:5">
      <c r="C24" t="s">
        <v>88</v>
      </c>
      <c r="D24" t="s">
        <v>85</v>
      </c>
    </row>
    <row r="29" spans="3:5">
      <c r="C29" t="s">
        <v>89</v>
      </c>
      <c r="D29" t="s">
        <v>90</v>
      </c>
      <c r="E29" t="s">
        <v>91</v>
      </c>
    </row>
    <row r="30" spans="3:5">
      <c r="C30" t="s">
        <v>92</v>
      </c>
      <c r="D30" t="s">
        <v>93</v>
      </c>
      <c r="E30" t="s">
        <v>94</v>
      </c>
    </row>
    <row r="31" spans="3:5">
      <c r="C31" t="s">
        <v>95</v>
      </c>
      <c r="D31" t="s">
        <v>96</v>
      </c>
      <c r="E31" t="s">
        <v>97</v>
      </c>
    </row>
    <row r="32" spans="3:5">
      <c r="C32" t="s">
        <v>98</v>
      </c>
      <c r="D32" t="s">
        <v>99</v>
      </c>
      <c r="E32" t="s">
        <v>100</v>
      </c>
    </row>
    <row r="33" spans="3:5">
      <c r="C33" t="s">
        <v>101</v>
      </c>
      <c r="E33" t="s">
        <v>102</v>
      </c>
    </row>
    <row r="35" spans="3:5">
      <c r="C35" t="s">
        <v>103</v>
      </c>
      <c r="D35" t="s">
        <v>104</v>
      </c>
    </row>
    <row r="36" spans="3:5">
      <c r="C36" t="s">
        <v>105</v>
      </c>
      <c r="D36">
        <v>100</v>
      </c>
    </row>
    <row r="37" spans="3:5">
      <c r="C37" t="s">
        <v>106</v>
      </c>
      <c r="D37" t="s">
        <v>107</v>
      </c>
    </row>
    <row r="38" spans="3:5">
      <c r="C38" t="s">
        <v>108</v>
      </c>
      <c r="D38" t="s">
        <v>109</v>
      </c>
    </row>
    <row r="39" spans="3:5">
      <c r="C39" t="s">
        <v>110</v>
      </c>
      <c r="D39" t="s">
        <v>111</v>
      </c>
    </row>
    <row r="40" spans="3:5">
      <c r="C40" t="s">
        <v>112</v>
      </c>
      <c r="D40" t="s">
        <v>113</v>
      </c>
    </row>
    <row r="41" spans="3:5">
      <c r="C41" t="s">
        <v>114</v>
      </c>
      <c r="D41" t="s">
        <v>115</v>
      </c>
    </row>
    <row r="42" spans="3:5">
      <c r="C42" t="s">
        <v>116</v>
      </c>
      <c r="D42" t="s">
        <v>117</v>
      </c>
    </row>
    <row r="45" spans="3:5">
      <c r="C45" t="s">
        <v>89</v>
      </c>
      <c r="D45" t="s">
        <v>90</v>
      </c>
      <c r="E45" t="s">
        <v>91</v>
      </c>
    </row>
    <row r="46" spans="3:5">
      <c r="C46" t="s">
        <v>92</v>
      </c>
      <c r="D46" t="s">
        <v>93</v>
      </c>
      <c r="E46" t="s">
        <v>118</v>
      </c>
    </row>
    <row r="47" spans="3:5">
      <c r="C47" t="s">
        <v>98</v>
      </c>
      <c r="D47" t="s">
        <v>99</v>
      </c>
      <c r="E47" t="s">
        <v>94</v>
      </c>
    </row>
    <row r="48" spans="3:5">
      <c r="C48" t="s">
        <v>101</v>
      </c>
      <c r="E48" t="s">
        <v>102</v>
      </c>
    </row>
    <row r="49" spans="3:10">
      <c r="C49" t="s">
        <v>119</v>
      </c>
      <c r="D49" t="s">
        <v>120</v>
      </c>
      <c r="E49" t="s">
        <v>121</v>
      </c>
    </row>
    <row r="51" spans="3:10">
      <c r="C51" t="s">
        <v>122</v>
      </c>
      <c r="D51" t="s">
        <v>123</v>
      </c>
    </row>
    <row r="52" spans="3:10">
      <c r="D52" t="s">
        <v>124</v>
      </c>
      <c r="E52" t="s">
        <v>125</v>
      </c>
      <c r="F52" t="s">
        <v>126</v>
      </c>
      <c r="G52" t="s">
        <v>127</v>
      </c>
      <c r="H52" t="s">
        <v>128</v>
      </c>
      <c r="I52" t="s">
        <v>129</v>
      </c>
      <c r="J52" t="s">
        <v>130</v>
      </c>
    </row>
    <row r="53" spans="3:10">
      <c r="C53" t="s">
        <v>131</v>
      </c>
      <c r="D53" t="s">
        <v>132</v>
      </c>
      <c r="E53" t="s">
        <v>132</v>
      </c>
      <c r="F53" t="s">
        <v>132</v>
      </c>
      <c r="G53" t="s">
        <v>132</v>
      </c>
      <c r="H53">
        <v>100</v>
      </c>
      <c r="I53" t="s">
        <v>132</v>
      </c>
      <c r="J53">
        <v>100</v>
      </c>
    </row>
    <row r="54" spans="3:10">
      <c r="C54" t="s">
        <v>133</v>
      </c>
      <c r="D54" t="s">
        <v>132</v>
      </c>
      <c r="E54" t="s">
        <v>132</v>
      </c>
      <c r="F54" t="s">
        <v>132</v>
      </c>
      <c r="G54">
        <v>100</v>
      </c>
      <c r="H54" t="s">
        <v>107</v>
      </c>
      <c r="I54">
        <v>100</v>
      </c>
      <c r="J54" t="s">
        <v>107</v>
      </c>
    </row>
    <row r="55" spans="3:10">
      <c r="C55" t="s">
        <v>134</v>
      </c>
      <c r="D55" t="s">
        <v>132</v>
      </c>
      <c r="E55" t="s">
        <v>132</v>
      </c>
      <c r="F55">
        <v>100</v>
      </c>
      <c r="G55" t="s">
        <v>107</v>
      </c>
      <c r="H55" t="s">
        <v>132</v>
      </c>
      <c r="I55" t="s">
        <v>135</v>
      </c>
      <c r="J55" t="s">
        <v>136</v>
      </c>
    </row>
    <row r="56" spans="3:10">
      <c r="C56" t="s">
        <v>137</v>
      </c>
      <c r="D56" t="s">
        <v>132</v>
      </c>
      <c r="E56">
        <v>100</v>
      </c>
      <c r="F56" t="s">
        <v>107</v>
      </c>
      <c r="G56" t="s">
        <v>132</v>
      </c>
      <c r="H56" t="s">
        <v>136</v>
      </c>
      <c r="I56" t="s">
        <v>138</v>
      </c>
      <c r="J56" t="s">
        <v>139</v>
      </c>
    </row>
    <row r="57" spans="3:10">
      <c r="C57" t="s">
        <v>140</v>
      </c>
      <c r="D57">
        <v>100</v>
      </c>
      <c r="E57" t="s">
        <v>107</v>
      </c>
      <c r="F57" t="s">
        <v>132</v>
      </c>
      <c r="G57" t="s">
        <v>136</v>
      </c>
      <c r="H57" t="s">
        <v>132</v>
      </c>
      <c r="I57" t="s">
        <v>139</v>
      </c>
      <c r="J57" t="s">
        <v>132</v>
      </c>
    </row>
    <row r="58" spans="3:10">
      <c r="C58" t="s">
        <v>141</v>
      </c>
      <c r="D58" t="s">
        <v>135</v>
      </c>
      <c r="E58" t="s">
        <v>132</v>
      </c>
      <c r="F58" t="s">
        <v>142</v>
      </c>
      <c r="G58" t="s">
        <v>132</v>
      </c>
      <c r="H58" s="78">
        <v>11232</v>
      </c>
      <c r="I58" t="s">
        <v>132</v>
      </c>
      <c r="J58" t="s">
        <v>143</v>
      </c>
    </row>
    <row r="59" spans="3:10">
      <c r="C59" t="s">
        <v>144</v>
      </c>
      <c r="D59" t="s">
        <v>145</v>
      </c>
      <c r="E59" t="s">
        <v>138</v>
      </c>
      <c r="F59" t="s">
        <v>132</v>
      </c>
      <c r="G59" s="78">
        <v>11232</v>
      </c>
      <c r="H59" t="s">
        <v>132</v>
      </c>
      <c r="I59" t="s">
        <v>143</v>
      </c>
      <c r="J59" t="s">
        <v>132</v>
      </c>
    </row>
    <row r="60" spans="3:10">
      <c r="C60" t="s">
        <v>146</v>
      </c>
      <c r="D60" t="s">
        <v>139</v>
      </c>
      <c r="E60" t="s">
        <v>147</v>
      </c>
      <c r="F60" t="s">
        <v>147</v>
      </c>
      <c r="G60" t="s">
        <v>143</v>
      </c>
      <c r="H60" t="s">
        <v>143</v>
      </c>
      <c r="I60" t="s">
        <v>132</v>
      </c>
      <c r="J60" t="s">
        <v>132</v>
      </c>
    </row>
    <row r="61" spans="3:10">
      <c r="C61" t="s">
        <v>148</v>
      </c>
      <c r="D61" t="s">
        <v>143</v>
      </c>
      <c r="E61" t="s">
        <v>143</v>
      </c>
      <c r="F61" t="s">
        <v>143</v>
      </c>
      <c r="G61" t="s">
        <v>132</v>
      </c>
      <c r="H61" t="s">
        <v>132</v>
      </c>
      <c r="I61" t="s">
        <v>132</v>
      </c>
      <c r="J61" t="s">
        <v>132</v>
      </c>
    </row>
    <row r="67" spans="3:7">
      <c r="C67" s="79" t="s">
        <v>163</v>
      </c>
      <c r="D67" s="79" t="s">
        <v>149</v>
      </c>
      <c r="E67" s="79" t="s">
        <v>150</v>
      </c>
      <c r="F67" s="79" t="s">
        <v>162</v>
      </c>
      <c r="G67" s="79" t="s">
        <v>151</v>
      </c>
    </row>
    <row r="68" spans="3:7">
      <c r="C68" s="79" t="s">
        <v>152</v>
      </c>
      <c r="D68" s="79" t="s">
        <v>153</v>
      </c>
      <c r="E68" s="80" t="s">
        <v>160</v>
      </c>
      <c r="F68" s="80" t="s">
        <v>161</v>
      </c>
      <c r="G68" s="79" t="s">
        <v>154</v>
      </c>
    </row>
    <row r="69" spans="3:7">
      <c r="C69" s="80" t="s">
        <v>157</v>
      </c>
      <c r="D69" s="80" t="s">
        <v>154</v>
      </c>
      <c r="E69" s="80" t="s">
        <v>155</v>
      </c>
      <c r="F69" s="80" t="s">
        <v>155</v>
      </c>
      <c r="G69" s="80" t="s">
        <v>156</v>
      </c>
    </row>
    <row r="70" spans="3:7">
      <c r="C70" s="80" t="s">
        <v>158</v>
      </c>
      <c r="D70" s="80" t="s">
        <v>156</v>
      </c>
      <c r="E70" s="80">
        <v>3</v>
      </c>
      <c r="F70" s="80" t="s">
        <v>156</v>
      </c>
      <c r="G70" s="80" t="s">
        <v>159</v>
      </c>
    </row>
    <row r="72" spans="3:7">
      <c r="C72" s="81" t="s">
        <v>194</v>
      </c>
      <c r="D72" s="81" t="s">
        <v>164</v>
      </c>
    </row>
    <row r="73" spans="3:7">
      <c r="C73" s="81" t="s">
        <v>193</v>
      </c>
      <c r="D73" s="81" t="s">
        <v>165</v>
      </c>
    </row>
    <row r="74" spans="3:7" ht="28.8">
      <c r="C74" s="81" t="s">
        <v>191</v>
      </c>
      <c r="D74" s="81" t="s">
        <v>166</v>
      </c>
    </row>
    <row r="75" spans="3:7">
      <c r="C75" s="81" t="s">
        <v>192</v>
      </c>
      <c r="D75" s="81" t="s">
        <v>167</v>
      </c>
    </row>
    <row r="76" spans="3:7">
      <c r="C76" s="81" t="s">
        <v>190</v>
      </c>
      <c r="D76" s="81" t="s">
        <v>168</v>
      </c>
    </row>
    <row r="77" spans="3:7">
      <c r="C77" s="81" t="s">
        <v>189</v>
      </c>
      <c r="D77" s="81">
        <v>12.1</v>
      </c>
    </row>
    <row r="78" spans="3:7" ht="28.8">
      <c r="C78" s="81" t="s">
        <v>188</v>
      </c>
      <c r="D78" s="81" t="s">
        <v>169</v>
      </c>
    </row>
    <row r="79" spans="3:7" ht="28.8">
      <c r="C79" s="81" t="s">
        <v>187</v>
      </c>
      <c r="D79" s="81" t="s">
        <v>170</v>
      </c>
    </row>
    <row r="80" spans="3:7" ht="28.8">
      <c r="C80" s="81" t="s">
        <v>186</v>
      </c>
      <c r="D80" s="81" t="s">
        <v>171</v>
      </c>
    </row>
    <row r="81" spans="3:4" ht="57.6">
      <c r="C81" s="81" t="s">
        <v>185</v>
      </c>
      <c r="D81" s="81" t="s">
        <v>172</v>
      </c>
    </row>
    <row r="82" spans="3:4" ht="144">
      <c r="C82" s="81" t="s">
        <v>184</v>
      </c>
      <c r="D82" s="81" t="s">
        <v>175</v>
      </c>
    </row>
    <row r="83" spans="3:4" ht="86.4">
      <c r="C83" s="81" t="s">
        <v>177</v>
      </c>
      <c r="D83" s="81" t="s">
        <v>176</v>
      </c>
    </row>
    <row r="84" spans="3:4">
      <c r="C84" s="81" t="s">
        <v>178</v>
      </c>
    </row>
    <row r="85" spans="3:4">
      <c r="C85" s="81" t="s">
        <v>179</v>
      </c>
      <c r="D85" s="81">
        <v>35</v>
      </c>
    </row>
    <row r="86" spans="3:4">
      <c r="C86" s="81" t="s">
        <v>180</v>
      </c>
      <c r="D86" s="81" t="s">
        <v>173</v>
      </c>
    </row>
    <row r="87" spans="3:4">
      <c r="C87" s="81" t="s">
        <v>181</v>
      </c>
      <c r="D87" s="81" t="s">
        <v>174</v>
      </c>
    </row>
    <row r="88" spans="3:4">
      <c r="C88" s="81" t="s">
        <v>182</v>
      </c>
    </row>
    <row r="89" spans="3:4">
      <c r="C89" s="81" t="s">
        <v>183</v>
      </c>
      <c r="D89" s="81" t="s">
        <v>173</v>
      </c>
    </row>
    <row r="95" spans="3:4">
      <c r="C95" t="s">
        <v>195</v>
      </c>
      <c r="D95" t="s">
        <v>196</v>
      </c>
    </row>
    <row r="96" spans="3:4">
      <c r="C96" t="s">
        <v>197</v>
      </c>
      <c r="D96" t="s">
        <v>199</v>
      </c>
    </row>
    <row r="97" spans="3:4">
      <c r="C97" t="s">
        <v>198</v>
      </c>
      <c r="D97" t="s">
        <v>200</v>
      </c>
    </row>
    <row r="101" spans="3:4" ht="15" thickBot="1"/>
    <row r="102" spans="3:4" ht="31.2" thickBot="1">
      <c r="C102" s="82" t="s">
        <v>195</v>
      </c>
      <c r="D102" s="83" t="s">
        <v>196</v>
      </c>
    </row>
    <row r="103" spans="3:4" ht="61.8" thickBot="1">
      <c r="C103" s="86" t="s">
        <v>201</v>
      </c>
      <c r="D103" s="84" t="s">
        <v>202</v>
      </c>
    </row>
    <row r="104" spans="3:4" ht="61.2">
      <c r="C104" s="86" t="s">
        <v>198</v>
      </c>
      <c r="D104" s="84" t="s">
        <v>203</v>
      </c>
    </row>
    <row r="107" spans="3:4" ht="15" thickBot="1"/>
    <row r="108" spans="3:4" ht="31.2" thickBot="1">
      <c r="C108" s="82" t="s">
        <v>195</v>
      </c>
      <c r="D108" s="83" t="s">
        <v>196</v>
      </c>
    </row>
    <row r="109" spans="3:4" ht="15" thickBot="1">
      <c r="C109" s="85" t="s">
        <v>204</v>
      </c>
      <c r="D109" s="87" t="s">
        <v>205</v>
      </c>
    </row>
    <row r="110" spans="3:4" ht="15" thickBot="1">
      <c r="C110" s="88" t="s">
        <v>206</v>
      </c>
      <c r="D110" s="87" t="s">
        <v>207</v>
      </c>
    </row>
    <row r="111" spans="3:4" ht="15" thickBot="1">
      <c r="C111" s="85" t="s">
        <v>198</v>
      </c>
      <c r="D111" s="87" t="s">
        <v>208</v>
      </c>
    </row>
    <row r="114" spans="4:13">
      <c r="D114" s="79"/>
      <c r="E114" s="89" t="s">
        <v>209</v>
      </c>
      <c r="F114" s="89" t="s">
        <v>210</v>
      </c>
      <c r="G114" s="89" t="s">
        <v>211</v>
      </c>
      <c r="H114" s="89" t="s">
        <v>212</v>
      </c>
      <c r="I114" s="89" t="s">
        <v>213</v>
      </c>
      <c r="L114" s="79"/>
    </row>
    <row r="115" spans="4:13">
      <c r="D115" s="79"/>
      <c r="E115" s="89" t="s">
        <v>214</v>
      </c>
      <c r="F115" s="89">
        <v>100</v>
      </c>
      <c r="G115" s="89">
        <v>100</v>
      </c>
      <c r="H115" s="89" t="s">
        <v>132</v>
      </c>
      <c r="I115" s="89" t="s">
        <v>132</v>
      </c>
      <c r="K115" s="79"/>
    </row>
    <row r="116" spans="4:13">
      <c r="D116" s="79"/>
      <c r="E116" s="89" t="s">
        <v>215</v>
      </c>
      <c r="F116" s="90" t="s">
        <v>132</v>
      </c>
      <c r="G116" s="90" t="s">
        <v>216</v>
      </c>
      <c r="H116" s="90">
        <v>100</v>
      </c>
      <c r="I116" s="90">
        <v>100</v>
      </c>
      <c r="L116" s="79"/>
    </row>
    <row r="117" spans="4:13">
      <c r="D117" s="79"/>
      <c r="E117" s="89" t="s">
        <v>217</v>
      </c>
      <c r="F117" s="90" t="s">
        <v>218</v>
      </c>
      <c r="G117" s="90" t="s">
        <v>219</v>
      </c>
      <c r="H117" s="90" t="s">
        <v>220</v>
      </c>
      <c r="I117" s="90" t="s">
        <v>221</v>
      </c>
      <c r="L117" s="79"/>
    </row>
    <row r="118" spans="4:13">
      <c r="D118" s="79"/>
      <c r="E118" s="89" t="s">
        <v>222</v>
      </c>
      <c r="F118" s="90" t="s">
        <v>223</v>
      </c>
      <c r="G118" s="90" t="s">
        <v>224</v>
      </c>
      <c r="H118" s="90" t="s">
        <v>225</v>
      </c>
      <c r="I118" s="90" t="s">
        <v>226</v>
      </c>
      <c r="K118" s="79"/>
      <c r="L118" s="79"/>
    </row>
    <row r="119" spans="4:13">
      <c r="D119" s="79"/>
      <c r="E119" s="89" t="s">
        <v>227</v>
      </c>
      <c r="F119" s="90" t="s">
        <v>228</v>
      </c>
      <c r="G119" s="90" t="s">
        <v>229</v>
      </c>
      <c r="H119" s="90" t="s">
        <v>230</v>
      </c>
      <c r="I119" s="90" t="s">
        <v>231</v>
      </c>
      <c r="K119" s="79"/>
      <c r="L119" s="79"/>
    </row>
    <row r="120" spans="4:13">
      <c r="D120" s="79"/>
      <c r="E120" s="89" t="s">
        <v>232</v>
      </c>
      <c r="F120" s="90" t="s">
        <v>240</v>
      </c>
      <c r="G120" s="90" t="s">
        <v>233</v>
      </c>
      <c r="H120" s="90" t="s">
        <v>233</v>
      </c>
      <c r="I120" s="90" t="s">
        <v>234</v>
      </c>
      <c r="K120" s="79"/>
      <c r="L120" s="79"/>
    </row>
    <row r="121" spans="4:13">
      <c r="D121" s="79"/>
      <c r="E121" s="89" t="s">
        <v>235</v>
      </c>
      <c r="F121" s="90" t="s">
        <v>238</v>
      </c>
      <c r="G121" s="90" t="s">
        <v>239</v>
      </c>
      <c r="H121" s="90" t="s">
        <v>236</v>
      </c>
      <c r="I121" s="90" t="s">
        <v>237</v>
      </c>
      <c r="K121" s="79"/>
      <c r="L121" s="79"/>
    </row>
    <row r="125" spans="4:13" ht="15" thickBot="1"/>
    <row r="126" spans="4:13" ht="15" thickBot="1">
      <c r="H126" s="91"/>
      <c r="I126" s="95"/>
      <c r="J126" s="95"/>
      <c r="K126" s="95"/>
      <c r="L126" s="340" t="s">
        <v>246</v>
      </c>
      <c r="M126" s="341"/>
    </row>
    <row r="127" spans="4:13" ht="15" thickBot="1">
      <c r="H127" s="92" t="s">
        <v>241</v>
      </c>
      <c r="I127" s="96" t="s">
        <v>242</v>
      </c>
      <c r="J127" s="96" t="s">
        <v>242</v>
      </c>
      <c r="K127" s="96" t="s">
        <v>242</v>
      </c>
      <c r="L127" s="340" t="s">
        <v>247</v>
      </c>
      <c r="M127" s="341"/>
    </row>
    <row r="128" spans="4:13">
      <c r="H128" s="93"/>
      <c r="I128" s="96" t="s">
        <v>243</v>
      </c>
      <c r="J128" s="96" t="s">
        <v>244</v>
      </c>
      <c r="K128" s="96" t="s">
        <v>245</v>
      </c>
      <c r="L128" s="96" t="s">
        <v>248</v>
      </c>
      <c r="M128" s="96" t="s">
        <v>250</v>
      </c>
    </row>
    <row r="129" spans="8:13">
      <c r="H129" s="93"/>
      <c r="I129" s="97"/>
      <c r="J129" s="97"/>
      <c r="K129" s="97"/>
      <c r="L129" s="96" t="s">
        <v>249</v>
      </c>
      <c r="M129" s="96">
        <v>3000</v>
      </c>
    </row>
    <row r="130" spans="8:13" ht="15" thickBot="1">
      <c r="H130" s="94"/>
      <c r="I130" s="98"/>
      <c r="J130" s="98"/>
      <c r="K130" s="98"/>
      <c r="L130" s="98"/>
      <c r="M130" s="99" t="s">
        <v>249</v>
      </c>
    </row>
    <row r="131" spans="8:13" ht="29.4" thickBot="1">
      <c r="H131" s="100" t="s">
        <v>251</v>
      </c>
      <c r="I131" s="101" t="s">
        <v>252</v>
      </c>
      <c r="J131" s="101" t="s">
        <v>253</v>
      </c>
      <c r="K131" s="101"/>
      <c r="L131" s="101" t="s">
        <v>254</v>
      </c>
      <c r="M131" s="101" t="s">
        <v>254</v>
      </c>
    </row>
    <row r="132" spans="8:13" ht="29.4" thickBot="1">
      <c r="H132" s="100" t="s">
        <v>255</v>
      </c>
      <c r="I132" s="101" t="s">
        <v>252</v>
      </c>
      <c r="J132" s="101" t="s">
        <v>253</v>
      </c>
      <c r="K132" s="101"/>
      <c r="L132" s="101" t="s">
        <v>256</v>
      </c>
      <c r="M132" s="101" t="s">
        <v>257</v>
      </c>
    </row>
    <row r="133" spans="8:13" ht="29.4" thickBot="1">
      <c r="H133" s="100" t="s">
        <v>258</v>
      </c>
      <c r="I133" s="101" t="s">
        <v>259</v>
      </c>
      <c r="J133" s="101" t="s">
        <v>260</v>
      </c>
      <c r="K133" s="101" t="s">
        <v>261</v>
      </c>
      <c r="L133" s="101" t="s">
        <v>262</v>
      </c>
      <c r="M133" s="101" t="s">
        <v>262</v>
      </c>
    </row>
    <row r="134" spans="8:13" ht="29.4" thickBot="1">
      <c r="H134" s="100" t="s">
        <v>263</v>
      </c>
      <c r="I134" s="101" t="s">
        <v>264</v>
      </c>
      <c r="J134" s="101" t="s">
        <v>265</v>
      </c>
      <c r="K134" s="101"/>
      <c r="L134" s="101" t="s">
        <v>266</v>
      </c>
      <c r="M134" s="101" t="s">
        <v>266</v>
      </c>
    </row>
    <row r="135" spans="8:13" ht="29.4" thickBot="1">
      <c r="H135" s="100" t="s">
        <v>267</v>
      </c>
      <c r="I135" s="101" t="s">
        <v>268</v>
      </c>
      <c r="J135" s="101" t="s">
        <v>269</v>
      </c>
      <c r="K135" s="101"/>
      <c r="L135" s="101" t="s">
        <v>270</v>
      </c>
      <c r="M135" s="101" t="s">
        <v>271</v>
      </c>
    </row>
    <row r="136" spans="8:13" ht="29.4" thickBot="1">
      <c r="H136" s="100" t="s">
        <v>272</v>
      </c>
      <c r="I136" s="101" t="s">
        <v>273</v>
      </c>
      <c r="J136" s="101" t="s">
        <v>274</v>
      </c>
      <c r="K136" s="101" t="s">
        <v>275</v>
      </c>
      <c r="L136" s="101" t="s">
        <v>276</v>
      </c>
      <c r="M136" s="101" t="s">
        <v>277</v>
      </c>
    </row>
    <row r="137" spans="8:13" ht="43.8" thickBot="1">
      <c r="H137" s="100" t="s">
        <v>278</v>
      </c>
      <c r="I137" s="101" t="s">
        <v>273</v>
      </c>
      <c r="J137" s="101" t="s">
        <v>274</v>
      </c>
      <c r="K137" s="101" t="s">
        <v>275</v>
      </c>
      <c r="L137" s="101" t="s">
        <v>279</v>
      </c>
      <c r="M137" s="101" t="s">
        <v>280</v>
      </c>
    </row>
    <row r="140" spans="8:13" ht="15" thickBot="1"/>
    <row r="141" spans="8:13" ht="15" thickBot="1">
      <c r="I141" s="91"/>
      <c r="J141" s="95"/>
      <c r="K141" s="340" t="s">
        <v>246</v>
      </c>
      <c r="L141" s="341"/>
    </row>
    <row r="142" spans="8:13">
      <c r="I142" s="92" t="s">
        <v>241</v>
      </c>
      <c r="J142" s="96" t="s">
        <v>281</v>
      </c>
      <c r="K142" s="96" t="s">
        <v>282</v>
      </c>
      <c r="L142" s="96" t="s">
        <v>284</v>
      </c>
    </row>
    <row r="143" spans="8:13" ht="15" thickBot="1">
      <c r="I143" s="102"/>
      <c r="J143" s="103"/>
      <c r="K143" s="99" t="s">
        <v>283</v>
      </c>
      <c r="L143" s="99" t="s">
        <v>283</v>
      </c>
    </row>
    <row r="144" spans="8:13" ht="15" thickBot="1">
      <c r="I144" s="100" t="s">
        <v>285</v>
      </c>
      <c r="J144" s="101" t="s">
        <v>286</v>
      </c>
      <c r="K144" s="101" t="s">
        <v>287</v>
      </c>
      <c r="L144" s="101" t="s">
        <v>288</v>
      </c>
    </row>
    <row r="145" spans="8:13" ht="29.4" thickBot="1">
      <c r="I145" s="100" t="s">
        <v>289</v>
      </c>
      <c r="J145" s="101" t="s">
        <v>290</v>
      </c>
      <c r="K145" s="101" t="s">
        <v>291</v>
      </c>
      <c r="L145" s="101" t="s">
        <v>292</v>
      </c>
    </row>
    <row r="146" spans="8:13" ht="29.4" thickBot="1">
      <c r="I146" s="100" t="s">
        <v>293</v>
      </c>
      <c r="J146" s="101" t="s">
        <v>268</v>
      </c>
      <c r="K146" s="101" t="s">
        <v>294</v>
      </c>
      <c r="L146" s="101" t="s">
        <v>270</v>
      </c>
    </row>
    <row r="147" spans="8:13" ht="29.4" thickBot="1">
      <c r="I147" s="100" t="s">
        <v>295</v>
      </c>
      <c r="J147" s="101" t="s">
        <v>296</v>
      </c>
      <c r="K147" s="101" t="s">
        <v>291</v>
      </c>
      <c r="L147" s="101" t="s">
        <v>291</v>
      </c>
    </row>
    <row r="152" spans="8:13">
      <c r="I152">
        <v>98.4</v>
      </c>
      <c r="J152">
        <v>14.27</v>
      </c>
      <c r="K152">
        <v>30.2</v>
      </c>
      <c r="L152">
        <v>102.2</v>
      </c>
      <c r="M152">
        <v>175.51</v>
      </c>
    </row>
    <row r="153" spans="8:13">
      <c r="I153">
        <v>43</v>
      </c>
      <c r="K153">
        <v>78.27</v>
      </c>
      <c r="L153">
        <v>44.2</v>
      </c>
      <c r="M153">
        <v>52.6</v>
      </c>
    </row>
    <row r="154" spans="8:13">
      <c r="I154">
        <v>85.3</v>
      </c>
      <c r="M154">
        <v>91.5</v>
      </c>
    </row>
    <row r="155" spans="8:13">
      <c r="I155">
        <v>55.4</v>
      </c>
      <c r="M155">
        <f>29.7+53.65</f>
        <v>83.35</v>
      </c>
    </row>
    <row r="156" spans="8:13">
      <c r="H156" s="14">
        <f>SUM(I156:M156)</f>
        <v>954.19999999999993</v>
      </c>
      <c r="I156">
        <f>SUM(I152:I155)</f>
        <v>282.09999999999997</v>
      </c>
      <c r="J156">
        <f>SUM(J152:J155)</f>
        <v>14.27</v>
      </c>
      <c r="K156">
        <f t="shared" ref="K156:M156" si="0">SUM(K152:K155)</f>
        <v>108.47</v>
      </c>
      <c r="L156">
        <f t="shared" si="0"/>
        <v>146.4</v>
      </c>
      <c r="M156">
        <f t="shared" si="0"/>
        <v>402.96000000000004</v>
      </c>
    </row>
    <row r="160" spans="8:13">
      <c r="I160">
        <f>682/2</f>
        <v>341</v>
      </c>
      <c r="J160">
        <f>+I160*5</f>
        <v>1705</v>
      </c>
      <c r="L160">
        <f>272/2</f>
        <v>136</v>
      </c>
    </row>
    <row r="161" spans="12:15">
      <c r="L161">
        <f>+L160*5</f>
        <v>680</v>
      </c>
    </row>
    <row r="163" spans="12:15">
      <c r="O163">
        <f>+(340/2)*5</f>
        <v>850</v>
      </c>
    </row>
  </sheetData>
  <mergeCells count="3">
    <mergeCell ref="L126:M126"/>
    <mergeCell ref="L127:M127"/>
    <mergeCell ref="K141:L14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E3:G17"/>
  <sheetViews>
    <sheetView workbookViewId="0">
      <selection activeCell="E3" sqref="E3:G17"/>
    </sheetView>
  </sheetViews>
  <sheetFormatPr baseColWidth="10" defaultRowHeight="14.4"/>
  <sheetData>
    <row r="3" spans="5:7">
      <c r="E3" s="196">
        <v>45320</v>
      </c>
      <c r="F3" s="195" t="s">
        <v>318</v>
      </c>
      <c r="G3" s="195">
        <v>500</v>
      </c>
    </row>
    <row r="4" spans="5:7">
      <c r="E4" s="196">
        <v>45322</v>
      </c>
      <c r="F4" s="195" t="s">
        <v>317</v>
      </c>
      <c r="G4" s="195">
        <v>200</v>
      </c>
    </row>
    <row r="5" spans="5:7">
      <c r="E5" s="196">
        <v>45324</v>
      </c>
      <c r="F5" s="195" t="s">
        <v>314</v>
      </c>
      <c r="G5" s="195">
        <v>2500</v>
      </c>
    </row>
    <row r="6" spans="5:7">
      <c r="E6" s="196">
        <v>45332</v>
      </c>
      <c r="F6" s="195" t="s">
        <v>315</v>
      </c>
      <c r="G6" s="195">
        <v>2500</v>
      </c>
    </row>
    <row r="7" spans="5:7">
      <c r="E7" s="196">
        <v>45339</v>
      </c>
      <c r="F7" s="195" t="s">
        <v>312</v>
      </c>
      <c r="G7" s="195">
        <v>5040</v>
      </c>
    </row>
    <row r="8" spans="5:7">
      <c r="E8" s="196">
        <v>45339</v>
      </c>
      <c r="F8" s="195" t="s">
        <v>313</v>
      </c>
      <c r="G8" s="195">
        <v>200</v>
      </c>
    </row>
    <row r="9" spans="5:7">
      <c r="E9" s="196">
        <v>45339</v>
      </c>
      <c r="F9" s="195" t="s">
        <v>316</v>
      </c>
      <c r="G9" s="195">
        <v>2500</v>
      </c>
    </row>
    <row r="10" spans="5:7">
      <c r="E10" s="196">
        <v>45346</v>
      </c>
      <c r="F10" s="195" t="s">
        <v>319</v>
      </c>
      <c r="G10" s="195">
        <v>1500</v>
      </c>
    </row>
    <row r="11" spans="5:7">
      <c r="E11" s="196">
        <v>45353</v>
      </c>
      <c r="F11" s="195" t="s">
        <v>320</v>
      </c>
      <c r="G11" s="195">
        <v>1400</v>
      </c>
    </row>
    <row r="12" spans="5:7">
      <c r="E12" s="196">
        <v>45360</v>
      </c>
      <c r="F12" s="195" t="s">
        <v>321</v>
      </c>
      <c r="G12" s="195">
        <v>2400</v>
      </c>
    </row>
    <row r="13" spans="5:7">
      <c r="E13" s="195"/>
      <c r="F13" s="195" t="s">
        <v>322</v>
      </c>
      <c r="G13" s="195">
        <v>8310</v>
      </c>
    </row>
    <row r="14" spans="5:7">
      <c r="E14" s="195"/>
      <c r="F14" s="195" t="s">
        <v>323</v>
      </c>
      <c r="G14" s="195">
        <v>550.70000000000005</v>
      </c>
    </row>
    <row r="15" spans="5:7">
      <c r="E15" s="195"/>
      <c r="F15" s="195" t="s">
        <v>324</v>
      </c>
      <c r="G15" s="195">
        <v>45</v>
      </c>
    </row>
    <row r="16" spans="5:7">
      <c r="E16" s="195"/>
      <c r="F16" s="195" t="s">
        <v>325</v>
      </c>
      <c r="G16" s="195">
        <v>888</v>
      </c>
    </row>
    <row r="17" spans="5:7">
      <c r="E17" s="195"/>
      <c r="F17" s="195"/>
      <c r="G17" s="195">
        <f>SUM(G3:G16)</f>
        <v>28533.7</v>
      </c>
    </row>
  </sheetData>
  <phoneticPr fontId="1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4:K51"/>
  <sheetViews>
    <sheetView topLeftCell="E32" workbookViewId="0">
      <selection activeCell="M44" sqref="M44"/>
    </sheetView>
  </sheetViews>
  <sheetFormatPr baseColWidth="10" defaultRowHeight="14.4"/>
  <cols>
    <col min="4" max="4" width="16.88671875" customWidth="1"/>
    <col min="7" max="7" width="17" customWidth="1"/>
    <col min="8" max="8" width="10.5546875" customWidth="1"/>
    <col min="9" max="9" width="6.44140625" customWidth="1"/>
  </cols>
  <sheetData>
    <row r="4" spans="4:11" ht="15" thickBot="1"/>
    <row r="5" spans="4:11" ht="15" thickBot="1">
      <c r="D5" s="342" t="s">
        <v>49</v>
      </c>
      <c r="E5" s="343"/>
      <c r="G5" s="36" t="s">
        <v>52</v>
      </c>
      <c r="H5" s="344" t="s">
        <v>53</v>
      </c>
      <c r="I5" s="345"/>
    </row>
    <row r="6" spans="4:11" ht="15" thickBot="1">
      <c r="D6" s="26" t="s">
        <v>19</v>
      </c>
      <c r="E6" s="27" t="s">
        <v>50</v>
      </c>
      <c r="G6" s="48" t="e">
        <f>+'metrado final'!#REF!</f>
        <v>#REF!</v>
      </c>
      <c r="H6" s="43" t="e">
        <f>+'metrado final'!#REF!</f>
        <v>#REF!</v>
      </c>
      <c r="I6" s="49" t="s">
        <v>54</v>
      </c>
      <c r="K6" s="51" t="e">
        <f>+'metrado final'!#REF!</f>
        <v>#REF!</v>
      </c>
    </row>
    <row r="7" spans="4:11">
      <c r="D7" s="28" t="e">
        <f>+'metrado final'!#REF!</f>
        <v>#REF!</v>
      </c>
      <c r="E7" s="29" t="e">
        <f>+'metrado final'!#REF!</f>
        <v>#REF!</v>
      </c>
      <c r="G7" s="46" t="e">
        <f>+'metrado final'!#REF!</f>
        <v>#REF!</v>
      </c>
      <c r="H7" s="42" t="e">
        <f>+'metrado final'!#REF!</f>
        <v>#REF!</v>
      </c>
      <c r="I7" s="38" t="s">
        <v>54</v>
      </c>
      <c r="K7" s="51" t="e">
        <f>+'metrado final'!#REF!</f>
        <v>#REF!</v>
      </c>
    </row>
    <row r="8" spans="4:11">
      <c r="D8" s="30" t="e">
        <f>+'metrado final'!#REF!</f>
        <v>#REF!</v>
      </c>
      <c r="E8" s="31" t="e">
        <f>+'metrado final'!#REF!</f>
        <v>#REF!</v>
      </c>
      <c r="G8" s="46" t="e">
        <f>+'metrado final'!#REF!</f>
        <v>#REF!</v>
      </c>
      <c r="H8" s="41" t="e">
        <f>+'metrado final'!#REF!</f>
        <v>#REF!</v>
      </c>
      <c r="I8" s="40" t="s">
        <v>54</v>
      </c>
      <c r="K8" s="51" t="e">
        <f>+'metrado final'!#REF!</f>
        <v>#REF!</v>
      </c>
    </row>
    <row r="9" spans="4:11">
      <c r="D9" s="30" t="e">
        <f>+'metrado final'!#REF!</f>
        <v>#REF!</v>
      </c>
      <c r="E9" s="31" t="e">
        <f>+'metrado final'!#REF!</f>
        <v>#REF!</v>
      </c>
      <c r="G9" s="46" t="e">
        <f>+'metrado final'!#REF!</f>
        <v>#REF!</v>
      </c>
      <c r="H9" s="42" t="e">
        <f>+'metrado final'!#REF!</f>
        <v>#REF!</v>
      </c>
      <c r="I9" s="38" t="s">
        <v>54</v>
      </c>
      <c r="K9" s="52" t="e">
        <f>+'metrado final'!#REF!</f>
        <v>#REF!</v>
      </c>
    </row>
    <row r="10" spans="4:11">
      <c r="D10" s="30" t="e">
        <f>+'metrado final'!#REF!</f>
        <v>#REF!</v>
      </c>
      <c r="E10" s="31" t="e">
        <f>+'metrado final'!#REF!</f>
        <v>#REF!</v>
      </c>
      <c r="G10" s="46" t="e">
        <f>+'metrado final'!#REF!</f>
        <v>#REF!</v>
      </c>
      <c r="H10" s="42" t="e">
        <f>+'metrado final'!#REF!</f>
        <v>#REF!</v>
      </c>
      <c r="I10" s="38" t="s">
        <v>54</v>
      </c>
      <c r="K10" s="52" t="e">
        <f>+'metrado final'!#REF!</f>
        <v>#REF!</v>
      </c>
    </row>
    <row r="11" spans="4:11">
      <c r="D11" s="30" t="e">
        <f>+'metrado final'!#REF!</f>
        <v>#REF!</v>
      </c>
      <c r="E11" s="31" t="e">
        <f>+'metrado final'!#REF!</f>
        <v>#REF!</v>
      </c>
      <c r="G11" s="46" t="e">
        <f>+'metrado final'!#REF!</f>
        <v>#REF!</v>
      </c>
      <c r="H11" s="42" t="e">
        <f>+'metrado final'!#REF!</f>
        <v>#REF!</v>
      </c>
      <c r="I11" s="38" t="s">
        <v>54</v>
      </c>
      <c r="K11" s="52" t="e">
        <f>+'metrado final'!#REF!</f>
        <v>#REF!</v>
      </c>
    </row>
    <row r="12" spans="4:11">
      <c r="D12" s="30" t="e">
        <f>+'metrado final'!#REF!</f>
        <v>#REF!</v>
      </c>
      <c r="E12" s="31" t="e">
        <f>+'metrado final'!#REF!</f>
        <v>#REF!</v>
      </c>
      <c r="G12" s="46" t="e">
        <f>+'metrado final'!#REF!</f>
        <v>#REF!</v>
      </c>
      <c r="H12" s="42" t="e">
        <f>+'metrado final'!#REF!</f>
        <v>#REF!</v>
      </c>
      <c r="I12" s="38" t="s">
        <v>54</v>
      </c>
      <c r="K12" s="51" t="e">
        <f>+'metrado final'!#REF!</f>
        <v>#REF!</v>
      </c>
    </row>
    <row r="13" spans="4:11">
      <c r="D13" s="30" t="e">
        <f>+'metrado final'!#REF!</f>
        <v>#REF!</v>
      </c>
      <c r="E13" s="31" t="e">
        <f>+'metrado final'!#REF!</f>
        <v>#REF!</v>
      </c>
      <c r="G13" s="46" t="e">
        <f>+'metrado final'!#REF!</f>
        <v>#REF!</v>
      </c>
      <c r="H13" s="41" t="e">
        <f>+'metrado final'!#REF!</f>
        <v>#REF!</v>
      </c>
      <c r="I13" s="40" t="s">
        <v>54</v>
      </c>
      <c r="K13" s="39" t="e">
        <f>+'metrado final'!#REF!</f>
        <v>#REF!</v>
      </c>
    </row>
    <row r="14" spans="4:11">
      <c r="D14" s="30" t="e">
        <f>+'metrado final'!#REF!</f>
        <v>#REF!</v>
      </c>
      <c r="E14" s="31" t="e">
        <f>+'metrado final'!#REF!</f>
        <v>#REF!</v>
      </c>
      <c r="G14" s="46" t="e">
        <f>+'metrado final'!#REF!</f>
        <v>#REF!</v>
      </c>
      <c r="H14" s="42" t="e">
        <f>+'metrado final'!#REF!</f>
        <v>#REF!</v>
      </c>
      <c r="I14" s="38" t="s">
        <v>54</v>
      </c>
      <c r="K14" s="39" t="e">
        <f>+'metrado final'!#REF!</f>
        <v>#REF!</v>
      </c>
    </row>
    <row r="15" spans="4:11">
      <c r="D15" s="30" t="e">
        <f>+'metrado final'!#REF!</f>
        <v>#REF!</v>
      </c>
      <c r="E15" s="31" t="e">
        <f>+'metrado final'!#REF!</f>
        <v>#REF!</v>
      </c>
      <c r="G15" s="46" t="e">
        <f>+'metrado final'!#REF!</f>
        <v>#REF!</v>
      </c>
      <c r="H15" s="41" t="e">
        <f>+'metrado final'!#REF!</f>
        <v>#REF!</v>
      </c>
      <c r="I15" s="40" t="s">
        <v>54</v>
      </c>
      <c r="K15" s="51" t="e">
        <f>+'metrado final'!#REF!</f>
        <v>#REF!</v>
      </c>
    </row>
    <row r="16" spans="4:11">
      <c r="D16" s="30" t="e">
        <f>+'metrado final'!#REF!</f>
        <v>#REF!</v>
      </c>
      <c r="E16" s="31" t="e">
        <f>+'metrado final'!#REF!</f>
        <v>#REF!</v>
      </c>
      <c r="G16" s="46" t="e">
        <f>+'metrado final'!#REF!</f>
        <v>#REF!</v>
      </c>
      <c r="H16" s="42" t="e">
        <f>+'metrado final'!#REF!</f>
        <v>#REF!</v>
      </c>
      <c r="I16" s="38" t="s">
        <v>54</v>
      </c>
      <c r="K16" s="52" t="e">
        <f>+'metrado final'!#REF!</f>
        <v>#REF!</v>
      </c>
    </row>
    <row r="17" spans="4:11">
      <c r="D17" s="30" t="e">
        <f>+'metrado final'!#REF!</f>
        <v>#REF!</v>
      </c>
      <c r="E17" s="31" t="e">
        <f>+'metrado final'!#REF!</f>
        <v>#REF!</v>
      </c>
      <c r="G17" s="46" t="e">
        <f>+'metrado final'!#REF!</f>
        <v>#REF!</v>
      </c>
      <c r="H17" s="42" t="e">
        <f>+'metrado final'!#REF!</f>
        <v>#REF!</v>
      </c>
      <c r="I17" s="38" t="s">
        <v>54</v>
      </c>
      <c r="K17" s="52" t="e">
        <f>+'metrado final'!#REF!</f>
        <v>#REF!</v>
      </c>
    </row>
    <row r="18" spans="4:11">
      <c r="D18" s="30" t="e">
        <f>+'metrado final'!#REF!</f>
        <v>#REF!</v>
      </c>
      <c r="E18" s="31" t="e">
        <f>+'metrado final'!#REF!</f>
        <v>#REF!</v>
      </c>
      <c r="G18" s="46" t="e">
        <f>+'metrado final'!#REF!</f>
        <v>#REF!</v>
      </c>
      <c r="H18" s="42" t="e">
        <f>+'metrado final'!#REF!</f>
        <v>#REF!</v>
      </c>
      <c r="I18" s="38" t="s">
        <v>54</v>
      </c>
      <c r="K18" s="52" t="e">
        <f>+'metrado final'!#REF!</f>
        <v>#REF!</v>
      </c>
    </row>
    <row r="19" spans="4:11">
      <c r="D19" s="30" t="e">
        <f>+'metrado final'!#REF!</f>
        <v>#REF!</v>
      </c>
      <c r="E19" s="31" t="e">
        <f>+'metrado final'!#REF!</f>
        <v>#REF!</v>
      </c>
      <c r="G19" s="46" t="e">
        <f>+'metrado final'!#REF!</f>
        <v>#REF!</v>
      </c>
      <c r="H19" s="42" t="e">
        <f>+'metrado final'!#REF!</f>
        <v>#REF!</v>
      </c>
      <c r="I19" s="38" t="s">
        <v>54</v>
      </c>
      <c r="K19" s="51" t="e">
        <f>+'metrado final'!#REF!</f>
        <v>#REF!</v>
      </c>
    </row>
    <row r="20" spans="4:11">
      <c r="D20" s="30" t="e">
        <f>+'metrado final'!#REF!</f>
        <v>#REF!</v>
      </c>
      <c r="E20" s="31" t="e">
        <f>+'metrado final'!#REF!</f>
        <v>#REF!</v>
      </c>
      <c r="G20" s="46" t="e">
        <f>+'metrado final'!#REF!</f>
        <v>#REF!</v>
      </c>
      <c r="H20" s="41" t="e">
        <f>+'metrado final'!#REF!</f>
        <v>#REF!</v>
      </c>
      <c r="I20" s="40" t="s">
        <v>54</v>
      </c>
      <c r="K20" s="51" t="e">
        <f>+'metrado final'!#REF!</f>
        <v>#REF!</v>
      </c>
    </row>
    <row r="21" spans="4:11">
      <c r="D21" s="30" t="e">
        <f>+'metrado final'!#REF!</f>
        <v>#REF!</v>
      </c>
      <c r="E21" s="31" t="e">
        <f>+'metrado final'!#REF!</f>
        <v>#REF!</v>
      </c>
      <c r="G21" s="46" t="e">
        <f>+'metrado final'!#REF!</f>
        <v>#REF!</v>
      </c>
      <c r="H21" s="42" t="e">
        <f>+'metrado final'!#REF!</f>
        <v>#REF!</v>
      </c>
      <c r="I21" s="38" t="s">
        <v>54</v>
      </c>
      <c r="K21" s="52" t="e">
        <f>+'metrado final'!#REF!</f>
        <v>#REF!</v>
      </c>
    </row>
    <row r="22" spans="4:11">
      <c r="D22" s="30" t="e">
        <f>+'metrado final'!#REF!</f>
        <v>#REF!</v>
      </c>
      <c r="E22" s="31" t="e">
        <f>+'metrado final'!#REF!</f>
        <v>#REF!</v>
      </c>
      <c r="G22" s="46" t="e">
        <f>+'metrado final'!#REF!</f>
        <v>#REF!</v>
      </c>
      <c r="H22" s="42" t="e">
        <f>+'metrado final'!#REF!</f>
        <v>#REF!</v>
      </c>
      <c r="I22" s="38" t="s">
        <v>54</v>
      </c>
      <c r="K22" s="39" t="e">
        <f>+'metrado final'!#REF!</f>
        <v>#REF!</v>
      </c>
    </row>
    <row r="23" spans="4:11">
      <c r="D23" s="30" t="e">
        <f>+'metrado final'!#REF!</f>
        <v>#REF!</v>
      </c>
      <c r="E23" s="31" t="e">
        <f>+'metrado final'!#REF!</f>
        <v>#REF!</v>
      </c>
      <c r="G23" s="46" t="e">
        <f>+'metrado final'!#REF!</f>
        <v>#REF!</v>
      </c>
      <c r="H23" s="42" t="e">
        <f>+'metrado final'!#REF!</f>
        <v>#REF!</v>
      </c>
      <c r="I23" s="38" t="s">
        <v>54</v>
      </c>
      <c r="K23" s="39" t="e">
        <f>+'metrado final'!#REF!</f>
        <v>#REF!</v>
      </c>
    </row>
    <row r="24" spans="4:11">
      <c r="D24" s="30" t="e">
        <f>+'metrado final'!#REF!</f>
        <v>#REF!</v>
      </c>
      <c r="E24" s="31" t="e">
        <f>+'metrado final'!#REF!</f>
        <v>#REF!</v>
      </c>
      <c r="G24" s="46" t="e">
        <f>+'metrado final'!#REF!</f>
        <v>#REF!</v>
      </c>
      <c r="H24" s="42" t="e">
        <f>+'metrado final'!#REF!</f>
        <v>#REF!</v>
      </c>
      <c r="I24" s="38" t="s">
        <v>54</v>
      </c>
      <c r="K24" s="39" t="e">
        <f>+'metrado final'!#REF!</f>
        <v>#REF!</v>
      </c>
    </row>
    <row r="25" spans="4:11">
      <c r="D25" s="30" t="e">
        <f>+'metrado final'!#REF!</f>
        <v>#REF!</v>
      </c>
      <c r="E25" s="31" t="e">
        <f>+'metrado final'!#REF!</f>
        <v>#REF!</v>
      </c>
      <c r="G25" s="46" t="e">
        <f>+'metrado final'!#REF!</f>
        <v>#REF!</v>
      </c>
      <c r="H25" s="42" t="e">
        <f>+'metrado final'!#REF!</f>
        <v>#REF!</v>
      </c>
      <c r="I25" s="38" t="s">
        <v>54</v>
      </c>
      <c r="K25" s="52" t="e">
        <f>+'metrado final'!#REF!</f>
        <v>#REF!</v>
      </c>
    </row>
    <row r="26" spans="4:11">
      <c r="D26" s="30" t="e">
        <f>+'metrado final'!#REF!</f>
        <v>#REF!</v>
      </c>
      <c r="E26" s="31" t="e">
        <f>+'metrado final'!#REF!</f>
        <v>#REF!</v>
      </c>
      <c r="G26" s="46" t="e">
        <f>+'metrado final'!#REF!</f>
        <v>#REF!</v>
      </c>
      <c r="H26" s="41" t="e">
        <f>+'metrado final'!#REF!</f>
        <v>#REF!</v>
      </c>
      <c r="I26" s="40" t="s">
        <v>54</v>
      </c>
      <c r="K26" s="39" t="e">
        <f>+'metrado final'!#REF!</f>
        <v>#REF!</v>
      </c>
    </row>
    <row r="27" spans="4:11">
      <c r="D27" s="30" t="e">
        <f>+'metrado final'!#REF!</f>
        <v>#REF!</v>
      </c>
      <c r="E27" s="31" t="e">
        <f>+'metrado final'!#REF!</f>
        <v>#REF!</v>
      </c>
      <c r="G27" s="46" t="e">
        <f>+'metrado final'!#REF!</f>
        <v>#REF!</v>
      </c>
      <c r="H27" s="42" t="e">
        <f>+'metrado final'!#REF!</f>
        <v>#REF!</v>
      </c>
      <c r="I27" s="38" t="s">
        <v>54</v>
      </c>
      <c r="K27" s="39" t="e">
        <f>+'metrado final'!#REF!</f>
        <v>#REF!</v>
      </c>
    </row>
    <row r="28" spans="4:11">
      <c r="D28" s="30" t="e">
        <f>+'metrado final'!#REF!</f>
        <v>#REF!</v>
      </c>
      <c r="E28" s="31" t="e">
        <f>+'metrado final'!#REF!</f>
        <v>#REF!</v>
      </c>
      <c r="G28" s="46" t="e">
        <f>+'metrado final'!#REF!</f>
        <v>#REF!</v>
      </c>
      <c r="H28" s="42" t="e">
        <f>+'metrado final'!#REF!</f>
        <v>#REF!</v>
      </c>
      <c r="I28" s="38" t="s">
        <v>54</v>
      </c>
      <c r="K28" s="51" t="e">
        <f>+'metrado final'!#REF!</f>
        <v>#REF!</v>
      </c>
    </row>
    <row r="29" spans="4:11">
      <c r="D29" s="30" t="e">
        <f>+'metrado final'!#REF!</f>
        <v>#REF!</v>
      </c>
      <c r="E29" s="31" t="e">
        <f>+'metrado final'!#REF!</f>
        <v>#REF!</v>
      </c>
      <c r="G29" s="46" t="e">
        <f>+'metrado final'!#REF!</f>
        <v>#REF!</v>
      </c>
      <c r="H29" s="41" t="e">
        <f>+'metrado final'!#REF!</f>
        <v>#REF!</v>
      </c>
      <c r="I29" s="38" t="s">
        <v>54</v>
      </c>
      <c r="K29" s="51" t="e">
        <f>+'metrado final'!#REF!</f>
        <v>#REF!</v>
      </c>
    </row>
    <row r="30" spans="4:11">
      <c r="D30" s="30" t="e">
        <f>+'metrado final'!#REF!</f>
        <v>#REF!</v>
      </c>
      <c r="E30" s="31" t="e">
        <f>+'metrado final'!#REF!</f>
        <v>#REF!</v>
      </c>
      <c r="G30" s="46" t="e">
        <f>+'metrado final'!#REF!</f>
        <v>#REF!</v>
      </c>
      <c r="H30" s="42" t="e">
        <f>+'metrado final'!#REF!</f>
        <v>#REF!</v>
      </c>
      <c r="I30" s="40" t="s">
        <v>54</v>
      </c>
      <c r="K30" s="51" t="e">
        <f>+'metrado final'!#REF!</f>
        <v>#REF!</v>
      </c>
    </row>
    <row r="31" spans="4:11" ht="15" thickBot="1">
      <c r="D31" s="30" t="e">
        <f>+'metrado final'!#REF!</f>
        <v>#REF!</v>
      </c>
      <c r="E31" s="31" t="e">
        <f>+'metrado final'!#REF!</f>
        <v>#REF!</v>
      </c>
      <c r="G31" s="46" t="e">
        <f>+'metrado final'!#REF!</f>
        <v>#REF!</v>
      </c>
      <c r="H31" s="44" t="e">
        <f>+'metrado final'!#REF!</f>
        <v>#REF!</v>
      </c>
      <c r="I31" s="38" t="s">
        <v>54</v>
      </c>
      <c r="K31" s="51" t="e">
        <f>+'metrado final'!#REF!</f>
        <v>#REF!</v>
      </c>
    </row>
    <row r="32" spans="4:11">
      <c r="D32" s="30" t="e">
        <f>+'metrado final'!#REF!</f>
        <v>#REF!</v>
      </c>
      <c r="E32" s="31" t="e">
        <f>+'metrado final'!#REF!</f>
        <v>#REF!</v>
      </c>
      <c r="G32" s="46" t="e">
        <f>+'metrado final'!#REF!</f>
        <v>#REF!</v>
      </c>
      <c r="H32" s="42" t="e">
        <f>+'metrado final'!#REF!</f>
        <v>#REF!</v>
      </c>
      <c r="I32" s="38" t="s">
        <v>54</v>
      </c>
      <c r="K32" s="39" t="e">
        <f>+'metrado final'!#REF!</f>
        <v>#REF!</v>
      </c>
    </row>
    <row r="33" spans="4:11">
      <c r="D33" s="30" t="e">
        <f>+'metrado final'!#REF!</f>
        <v>#REF!</v>
      </c>
      <c r="E33" s="31" t="e">
        <f>+'metrado final'!#REF!</f>
        <v>#REF!</v>
      </c>
      <c r="G33" s="46" t="e">
        <f>+'metrado final'!#REF!</f>
        <v>#REF!</v>
      </c>
      <c r="H33" s="41" t="e">
        <f>+'metrado final'!#REF!</f>
        <v>#REF!</v>
      </c>
      <c r="I33" s="38" t="s">
        <v>54</v>
      </c>
      <c r="K33" s="39" t="e">
        <f>+'metrado final'!#REF!</f>
        <v>#REF!</v>
      </c>
    </row>
    <row r="34" spans="4:11" ht="15" thickBot="1">
      <c r="D34" s="30" t="e">
        <f>+'metrado final'!#REF!</f>
        <v>#REF!</v>
      </c>
      <c r="E34" s="31" t="e">
        <f>+'metrado final'!#REF!</f>
        <v>#REF!</v>
      </c>
      <c r="G34" s="46" t="e">
        <f>+'metrado final'!#REF!</f>
        <v>#REF!</v>
      </c>
      <c r="H34" s="45" t="e">
        <f>+'metrado final'!#REF!</f>
        <v>#REF!</v>
      </c>
      <c r="I34" s="38" t="s">
        <v>54</v>
      </c>
      <c r="K34" s="39" t="e">
        <f>+'metrado final'!#REF!</f>
        <v>#REF!</v>
      </c>
    </row>
    <row r="35" spans="4:11">
      <c r="D35" s="30" t="e">
        <f>+'metrado final'!#REF!</f>
        <v>#REF!</v>
      </c>
      <c r="E35" s="31" t="e">
        <f>+'metrado final'!#REF!</f>
        <v>#REF!</v>
      </c>
      <c r="G35" s="46" t="e">
        <f>+'metrado final'!#REF!</f>
        <v>#REF!</v>
      </c>
      <c r="H35" s="42" t="e">
        <f>+'metrado final'!#REF!</f>
        <v>#REF!</v>
      </c>
      <c r="I35" s="50" t="s">
        <v>54</v>
      </c>
      <c r="K35" s="52" t="e">
        <f>+'metrado final'!#REF!</f>
        <v>#REF!</v>
      </c>
    </row>
    <row r="36" spans="4:11">
      <c r="D36" s="30" t="e">
        <f>+'metrado final'!#REF!</f>
        <v>#REF!</v>
      </c>
      <c r="E36" s="31" t="e">
        <f>+'metrado final'!#REF!</f>
        <v>#REF!</v>
      </c>
      <c r="G36" s="46" t="e">
        <f>+'metrado final'!#REF!</f>
        <v>#REF!</v>
      </c>
      <c r="H36" s="41" t="e">
        <f>+'metrado final'!#REF!</f>
        <v>#REF!</v>
      </c>
      <c r="I36" s="40" t="s">
        <v>54</v>
      </c>
      <c r="K36" s="39" t="e">
        <f>+'metrado final'!#REF!</f>
        <v>#REF!</v>
      </c>
    </row>
    <row r="37" spans="4:11">
      <c r="D37" s="30" t="e">
        <f>+'metrado final'!#REF!</f>
        <v>#REF!</v>
      </c>
      <c r="E37" s="31" t="e">
        <f>+'metrado final'!#REF!</f>
        <v>#REF!</v>
      </c>
      <c r="G37" s="46" t="e">
        <f>+'metrado final'!#REF!</f>
        <v>#REF!</v>
      </c>
      <c r="H37" s="42" t="e">
        <f>+'metrado final'!#REF!</f>
        <v>#REF!</v>
      </c>
      <c r="I37" s="38" t="s">
        <v>54</v>
      </c>
      <c r="K37" s="39" t="e">
        <f>+'metrado final'!#REF!</f>
        <v>#REF!</v>
      </c>
    </row>
    <row r="38" spans="4:11" ht="15" thickBot="1">
      <c r="D38" s="32" t="e">
        <f>+'metrado final'!#REF!</f>
        <v>#REF!</v>
      </c>
      <c r="E38" s="33" t="e">
        <f>+'metrado final'!#REF!</f>
        <v>#REF!</v>
      </c>
      <c r="G38" s="46" t="e">
        <f>+'metrado final'!#REF!</f>
        <v>#REF!</v>
      </c>
      <c r="H38" s="41" t="e">
        <f>+'metrado final'!#REF!</f>
        <v>#REF!</v>
      </c>
      <c r="I38" s="40" t="s">
        <v>54</v>
      </c>
      <c r="K38" s="39" t="e">
        <f>+'metrado final'!#REF!</f>
        <v>#REF!</v>
      </c>
    </row>
    <row r="39" spans="4:11" ht="15" thickBot="1">
      <c r="D39" s="34" t="s">
        <v>51</v>
      </c>
      <c r="E39" s="35" t="e">
        <f>SUM(E7:E38)</f>
        <v>#REF!</v>
      </c>
      <c r="G39" s="47" t="e">
        <f>+'metrado final'!#REF!</f>
        <v>#REF!</v>
      </c>
      <c r="H39" s="45" t="e">
        <f>+'metrado final'!#REF!</f>
        <v>#REF!</v>
      </c>
      <c r="I39" s="37" t="s">
        <v>54</v>
      </c>
      <c r="K39" s="39" t="e">
        <f>+'metrado final'!#REF!</f>
        <v>#REF!</v>
      </c>
    </row>
    <row r="40" spans="4:11">
      <c r="K40" s="39"/>
    </row>
    <row r="41" spans="4:11" ht="15" thickBot="1"/>
    <row r="42" spans="4:11" ht="15" thickBot="1">
      <c r="G42" s="36" t="s">
        <v>52</v>
      </c>
      <c r="H42" s="346" t="s">
        <v>53</v>
      </c>
      <c r="I42" s="347"/>
    </row>
    <row r="43" spans="4:11" ht="15" thickBot="1">
      <c r="G43" s="61" t="s">
        <v>39</v>
      </c>
      <c r="H43" s="58">
        <v>147.16999999999999</v>
      </c>
      <c r="I43" s="53" t="s">
        <v>54</v>
      </c>
    </row>
    <row r="44" spans="4:11" ht="15" thickBot="1">
      <c r="G44" s="61" t="s">
        <v>40</v>
      </c>
      <c r="H44" s="59">
        <v>146.75</v>
      </c>
      <c r="I44" s="54" t="s">
        <v>54</v>
      </c>
    </row>
    <row r="45" spans="4:11" ht="15" thickBot="1">
      <c r="G45" s="61" t="s">
        <v>41</v>
      </c>
      <c r="H45" s="60">
        <v>98.3</v>
      </c>
      <c r="I45" s="55" t="s">
        <v>54</v>
      </c>
    </row>
    <row r="46" spans="4:11" ht="15" thickBot="1">
      <c r="G46" s="61" t="s">
        <v>42</v>
      </c>
      <c r="H46" s="59">
        <v>147.28</v>
      </c>
      <c r="I46" s="54" t="s">
        <v>54</v>
      </c>
    </row>
    <row r="47" spans="4:11" ht="15" thickBot="1">
      <c r="G47" s="61" t="s">
        <v>43</v>
      </c>
      <c r="H47" s="60">
        <v>147.05000000000001</v>
      </c>
      <c r="I47" s="55" t="s">
        <v>54</v>
      </c>
    </row>
    <row r="48" spans="4:11" ht="15" thickBot="1">
      <c r="G48" s="61" t="s">
        <v>44</v>
      </c>
      <c r="H48" s="58">
        <v>146.94</v>
      </c>
      <c r="I48" s="54" t="s">
        <v>54</v>
      </c>
    </row>
    <row r="49" spans="7:9" ht="15" thickBot="1">
      <c r="G49" s="61" t="s">
        <v>45</v>
      </c>
      <c r="H49" s="58">
        <v>146.68</v>
      </c>
      <c r="I49" s="55" t="s">
        <v>54</v>
      </c>
    </row>
    <row r="50" spans="7:9" ht="15" thickBot="1">
      <c r="G50" s="61" t="s">
        <v>46</v>
      </c>
      <c r="H50" s="58">
        <v>146.46</v>
      </c>
      <c r="I50" s="53" t="s">
        <v>54</v>
      </c>
    </row>
    <row r="51" spans="7:9" ht="15" thickBot="1">
      <c r="G51" s="62" t="s">
        <v>47</v>
      </c>
      <c r="H51" s="56">
        <v>126.55</v>
      </c>
      <c r="I51" s="57" t="s">
        <v>54</v>
      </c>
    </row>
  </sheetData>
  <mergeCells count="3">
    <mergeCell ref="D5:E5"/>
    <mergeCell ref="H5:I5"/>
    <mergeCell ref="H42:I4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RESUMEN DE METRADOS</vt:lpstr>
      <vt:lpstr>metrado final</vt:lpstr>
      <vt:lpstr>RESUMEN</vt:lpstr>
      <vt:lpstr>Hoja2</vt:lpstr>
      <vt:lpstr>Hoja3</vt:lpstr>
      <vt:lpstr>Hoja1</vt:lpstr>
      <vt:lpstr>'metrado final'!Área_de_impresión</vt:lpstr>
      <vt:lpstr>RESUMEN!Área_de_impresión</vt:lpstr>
      <vt:lpstr>'metrado final'!Títulos_a_imprimir</vt:lpstr>
      <vt:lpstr>'RESUMEN DE METRADOS'!Títulos_a_imprimir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lce</dc:creator>
  <cp:lastModifiedBy>USUARIO</cp:lastModifiedBy>
  <cp:lastPrinted>2025-01-17T15:16:17Z</cp:lastPrinted>
  <dcterms:created xsi:type="dcterms:W3CDTF">2015-04-30T05:41:23Z</dcterms:created>
  <dcterms:modified xsi:type="dcterms:W3CDTF">2025-05-19T13:11:25Z</dcterms:modified>
</cp:coreProperties>
</file>